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120" yWindow="108" windowWidth="15120" windowHeight="8016" tabRatio="594"/>
  </bookViews>
  <sheets>
    <sheet name="НВВ 2024" sheetId="68" r:id="rId1"/>
    <sheet name="2.2" sheetId="6" r:id="rId2"/>
    <sheet name="2.1" sheetId="7" r:id="rId3"/>
    <sheet name="Смета расходов по годам" sheetId="40" r:id="rId4"/>
    <sheet name="Сравнить НВВ" sheetId="46" r:id="rId5"/>
  </sheets>
  <calcPr calcId="152511"/>
</workbook>
</file>

<file path=xl/calcChain.xml><?xml version="1.0" encoding="utf-8"?>
<calcChain xmlns="http://schemas.openxmlformats.org/spreadsheetml/2006/main">
  <c r="D68" i="68" l="1"/>
  <c r="D35" i="68"/>
  <c r="D30" i="68"/>
  <c r="D13" i="68"/>
  <c r="D11" i="68"/>
  <c r="D5" i="68"/>
  <c r="D6" i="68"/>
  <c r="S37" i="46" l="1"/>
  <c r="S6" i="46"/>
  <c r="C49" i="68" l="1"/>
  <c r="C40" i="68"/>
  <c r="C35" i="68"/>
  <c r="C30" i="68"/>
  <c r="C13" i="68"/>
  <c r="C11" i="68"/>
  <c r="C5" i="68"/>
  <c r="C6" i="68"/>
  <c r="C63" i="68" l="1"/>
  <c r="D49" i="68"/>
  <c r="D63" i="68" s="1"/>
  <c r="D40" i="68"/>
  <c r="C68" i="68" l="1"/>
  <c r="H47" i="7" l="1"/>
  <c r="H42" i="7"/>
  <c r="H41" i="7"/>
  <c r="AI21" i="40" l="1"/>
  <c r="AI36" i="40" l="1"/>
  <c r="AH36" i="40"/>
  <c r="AI44" i="40"/>
  <c r="AH44" i="40"/>
  <c r="AI32" i="40"/>
  <c r="AH32" i="40"/>
  <c r="AE32" i="40"/>
  <c r="R6" i="46"/>
  <c r="S49" i="46" l="1"/>
  <c r="S63" i="46" s="1"/>
  <c r="R49" i="46"/>
  <c r="R63" i="46" s="1"/>
  <c r="S35" i="46"/>
  <c r="R35" i="46"/>
  <c r="S30" i="46"/>
  <c r="R30" i="46"/>
  <c r="S13" i="46"/>
  <c r="S11" i="46" s="1"/>
  <c r="R13" i="46"/>
  <c r="R11" i="46" s="1"/>
  <c r="R5" i="46"/>
  <c r="AK46" i="40"/>
  <c r="AK44" i="40"/>
  <c r="AK43" i="40"/>
  <c r="AK34" i="40"/>
  <c r="AK33" i="40"/>
  <c r="AK31" i="40"/>
  <c r="AK30" i="40"/>
  <c r="AJ28" i="40"/>
  <c r="AJ21" i="40" s="1"/>
  <c r="AI28" i="40"/>
  <c r="AH28" i="40"/>
  <c r="AH21" i="40" s="1"/>
  <c r="AK25" i="40"/>
  <c r="AK24" i="40"/>
  <c r="AK23" i="40"/>
  <c r="AK20" i="40"/>
  <c r="AK18" i="40"/>
  <c r="AK16" i="40"/>
  <c r="AK15" i="40"/>
  <c r="AK14" i="40"/>
  <c r="AJ13" i="40"/>
  <c r="AI13" i="40"/>
  <c r="AH13" i="40"/>
  <c r="AK11" i="40"/>
  <c r="AK10" i="40"/>
  <c r="AK8" i="40"/>
  <c r="AK7" i="40"/>
  <c r="AK13" i="40" l="1"/>
  <c r="R40" i="46"/>
  <c r="R71" i="46" s="1"/>
  <c r="AK28" i="40"/>
  <c r="AJ35" i="40"/>
  <c r="AJ38" i="40" s="1"/>
  <c r="AJ45" i="40" s="1"/>
  <c r="AH35" i="40"/>
  <c r="AH38" i="40" s="1"/>
  <c r="AI35" i="40"/>
  <c r="AI38" i="40" s="1"/>
  <c r="AK21" i="40"/>
  <c r="AK32" i="40"/>
  <c r="AI45" i="40" l="1"/>
  <c r="AI47" i="40" s="1"/>
  <c r="AH45" i="40"/>
  <c r="AH47" i="40" s="1"/>
  <c r="AK38" i="40"/>
  <c r="AK35" i="40"/>
  <c r="AJ47" i="40" l="1"/>
  <c r="AK47" i="40" s="1"/>
  <c r="AK45" i="40"/>
  <c r="Q16" i="46" l="1"/>
  <c r="Q8" i="46"/>
  <c r="P49" i="46" l="1"/>
  <c r="P63" i="46" s="1"/>
  <c r="P35" i="46"/>
  <c r="P30" i="46"/>
  <c r="Q13" i="46"/>
  <c r="Q11" i="46" s="1"/>
  <c r="P13" i="46"/>
  <c r="P11" i="46" s="1"/>
  <c r="Q49" i="46"/>
  <c r="Q63" i="46" s="1"/>
  <c r="Q35" i="46"/>
  <c r="Q30" i="46"/>
  <c r="Q5" i="46"/>
  <c r="P5" i="46"/>
  <c r="AE44" i="40"/>
  <c r="AG44" i="40" s="1"/>
  <c r="AD44" i="40"/>
  <c r="AD32" i="40"/>
  <c r="AF13" i="40"/>
  <c r="AE13" i="40"/>
  <c r="AD13" i="40"/>
  <c r="AG46" i="40"/>
  <c r="AG43" i="40"/>
  <c r="AG34" i="40"/>
  <c r="AG33" i="40"/>
  <c r="AG32" i="40"/>
  <c r="AG31" i="40"/>
  <c r="AG30" i="40"/>
  <c r="AF28" i="40"/>
  <c r="AE28" i="40"/>
  <c r="AD28" i="40"/>
  <c r="AD21" i="40" s="1"/>
  <c r="AG25" i="40"/>
  <c r="AG24" i="40"/>
  <c r="AG23" i="40"/>
  <c r="AE21" i="40"/>
  <c r="AG20" i="40"/>
  <c r="AG18" i="40"/>
  <c r="AG16" i="40"/>
  <c r="AG15" i="40"/>
  <c r="AG14" i="40"/>
  <c r="AG11" i="40"/>
  <c r="AG10" i="40"/>
  <c r="AG8" i="40"/>
  <c r="AG7" i="40"/>
  <c r="AG13" i="40" l="1"/>
  <c r="P40" i="46"/>
  <c r="P71" i="46" s="1"/>
  <c r="Q40" i="46"/>
  <c r="Q71" i="46" s="1"/>
  <c r="AD35" i="40"/>
  <c r="AD38" i="40" s="1"/>
  <c r="AD45" i="40" s="1"/>
  <c r="AD47" i="40" s="1"/>
  <c r="AG28" i="40"/>
  <c r="AE35" i="40"/>
  <c r="AE38" i="40" s="1"/>
  <c r="AE45" i="40" s="1"/>
  <c r="AE47" i="40" s="1"/>
  <c r="AF21" i="40"/>
  <c r="AF35" i="40" l="1"/>
  <c r="AG21" i="40"/>
  <c r="AF38" i="40" l="1"/>
  <c r="AF45" i="40" s="1"/>
  <c r="AG35" i="40"/>
  <c r="AG38" i="40" l="1"/>
  <c r="AF47" i="40" l="1"/>
  <c r="AG47" i="40" s="1"/>
  <c r="AG45" i="40"/>
  <c r="S47" i="40" l="1"/>
  <c r="Q47" i="40"/>
  <c r="M47" i="40"/>
  <c r="I47" i="40"/>
  <c r="AC46" i="40"/>
  <c r="Y46" i="40"/>
  <c r="U46" i="40"/>
  <c r="Q46" i="40"/>
  <c r="M46" i="40"/>
  <c r="I46" i="40"/>
  <c r="I45" i="40"/>
  <c r="D45" i="40"/>
  <c r="E45" i="40" s="1"/>
  <c r="AC44" i="40"/>
  <c r="AA44" i="40"/>
  <c r="Z44" i="40"/>
  <c r="Y44" i="40"/>
  <c r="W44" i="40"/>
  <c r="V44" i="40"/>
  <c r="U44" i="40"/>
  <c r="Q44" i="40"/>
  <c r="M44" i="40"/>
  <c r="I44" i="40"/>
  <c r="E44" i="40"/>
  <c r="AC43" i="40"/>
  <c r="Y43" i="40"/>
  <c r="I42" i="40"/>
  <c r="E42" i="40"/>
  <c r="I41" i="40"/>
  <c r="E41" i="40"/>
  <c r="I40" i="40"/>
  <c r="E40" i="40"/>
  <c r="I39" i="40"/>
  <c r="E39" i="40"/>
  <c r="I38" i="40"/>
  <c r="E38" i="40"/>
  <c r="Q37" i="40"/>
  <c r="M37" i="40"/>
  <c r="I37" i="40"/>
  <c r="E37" i="40"/>
  <c r="Q36" i="40"/>
  <c r="M36" i="40"/>
  <c r="I36" i="40"/>
  <c r="E36" i="40"/>
  <c r="P35" i="40"/>
  <c r="P38" i="40" s="1"/>
  <c r="I35" i="40"/>
  <c r="E35" i="40"/>
  <c r="AC34" i="40"/>
  <c r="Y34" i="40"/>
  <c r="U34" i="40"/>
  <c r="Q34" i="40"/>
  <c r="M34" i="40"/>
  <c r="I34" i="40"/>
  <c r="E34" i="40"/>
  <c r="AC33" i="40"/>
  <c r="Y33" i="40"/>
  <c r="U33" i="40"/>
  <c r="Q33" i="40"/>
  <c r="M33" i="40"/>
  <c r="I33" i="40"/>
  <c r="E33" i="40"/>
  <c r="AA32" i="40"/>
  <c r="AC32" i="40" s="1"/>
  <c r="Z32" i="40"/>
  <c r="W32" i="40"/>
  <c r="Y32" i="40" s="1"/>
  <c r="V32" i="40"/>
  <c r="S32" i="40"/>
  <c r="U32" i="40" s="1"/>
  <c r="Q32" i="40"/>
  <c r="M32" i="40"/>
  <c r="I32" i="40"/>
  <c r="E32" i="40"/>
  <c r="AC31" i="40"/>
  <c r="Y31" i="40"/>
  <c r="U31" i="40"/>
  <c r="Q31" i="40"/>
  <c r="M31" i="40"/>
  <c r="I31" i="40"/>
  <c r="E31" i="40"/>
  <c r="AC30" i="40"/>
  <c r="Y30" i="40"/>
  <c r="U30" i="40"/>
  <c r="Q30" i="40"/>
  <c r="M30" i="40"/>
  <c r="I30" i="40"/>
  <c r="E30" i="40"/>
  <c r="M29" i="40"/>
  <c r="I29" i="40"/>
  <c r="E29" i="40"/>
  <c r="AC28" i="40"/>
  <c r="AB28" i="40"/>
  <c r="AA28" i="40"/>
  <c r="Z28" i="40"/>
  <c r="Y28" i="40"/>
  <c r="X28" i="40"/>
  <c r="W28" i="40"/>
  <c r="V28" i="40"/>
  <c r="U28" i="40"/>
  <c r="S28" i="40"/>
  <c r="R28" i="40"/>
  <c r="Q28" i="40"/>
  <c r="M28" i="40"/>
  <c r="I28" i="40"/>
  <c r="E28" i="40"/>
  <c r="M27" i="40"/>
  <c r="I27" i="40"/>
  <c r="E27" i="40"/>
  <c r="M26" i="40"/>
  <c r="I26" i="40"/>
  <c r="E26" i="40"/>
  <c r="AC25" i="40"/>
  <c r="Y25" i="40"/>
  <c r="U25" i="40"/>
  <c r="Q25" i="40"/>
  <c r="M25" i="40"/>
  <c r="I25" i="40"/>
  <c r="E25" i="40"/>
  <c r="AC24" i="40"/>
  <c r="Y24" i="40"/>
  <c r="U24" i="40"/>
  <c r="Q24" i="40"/>
  <c r="M24" i="40"/>
  <c r="I24" i="40"/>
  <c r="E24" i="40"/>
  <c r="AC23" i="40"/>
  <c r="Y23" i="40"/>
  <c r="U23" i="40"/>
  <c r="Q23" i="40"/>
  <c r="M23" i="40"/>
  <c r="I23" i="40"/>
  <c r="E23" i="40"/>
  <c r="M22" i="40"/>
  <c r="I22" i="40"/>
  <c r="E22" i="40"/>
  <c r="AB21" i="40"/>
  <c r="AC21" i="40" s="1"/>
  <c r="AA21" i="40"/>
  <c r="Z21" i="40"/>
  <c r="X21" i="40"/>
  <c r="Y21" i="40" s="1"/>
  <c r="W21" i="40"/>
  <c r="V21" i="40"/>
  <c r="T21" i="40"/>
  <c r="U21" i="40" s="1"/>
  <c r="S21" i="40"/>
  <c r="R21" i="40"/>
  <c r="R35" i="40" s="1"/>
  <c r="R38" i="40" s="1"/>
  <c r="R45" i="40" s="1"/>
  <c r="R47" i="40" s="1"/>
  <c r="Q21" i="40"/>
  <c r="L21" i="40"/>
  <c r="M21" i="40" s="1"/>
  <c r="I21" i="40"/>
  <c r="D21" i="40"/>
  <c r="E21" i="40" s="1"/>
  <c r="AC20" i="40"/>
  <c r="Y20" i="40"/>
  <c r="U20" i="40"/>
  <c r="Q20" i="40"/>
  <c r="M20" i="40"/>
  <c r="I20" i="40"/>
  <c r="E20" i="40"/>
  <c r="M19" i="40"/>
  <c r="I19" i="40"/>
  <c r="E19" i="40"/>
  <c r="AC18" i="40"/>
  <c r="Y18" i="40"/>
  <c r="U18" i="40"/>
  <c r="Q18" i="40"/>
  <c r="M18" i="40"/>
  <c r="I18" i="40"/>
  <c r="E18" i="40"/>
  <c r="M17" i="40"/>
  <c r="I17" i="40"/>
  <c r="E17" i="40"/>
  <c r="AC16" i="40"/>
  <c r="Y16" i="40"/>
  <c r="U16" i="40"/>
  <c r="Q16" i="40"/>
  <c r="M16" i="40"/>
  <c r="I16" i="40"/>
  <c r="E16" i="40"/>
  <c r="AC15" i="40"/>
  <c r="Y15" i="40"/>
  <c r="U15" i="40"/>
  <c r="Q15" i="40"/>
  <c r="M15" i="40"/>
  <c r="I15" i="40"/>
  <c r="E15" i="40"/>
  <c r="AC14" i="40"/>
  <c r="Y14" i="40"/>
  <c r="U14" i="40"/>
  <c r="Q14" i="40"/>
  <c r="M14" i="40"/>
  <c r="I14" i="40"/>
  <c r="E14" i="40"/>
  <c r="AC13" i="40"/>
  <c r="AA13" i="40"/>
  <c r="AA35" i="40" s="1"/>
  <c r="AA38" i="40" s="1"/>
  <c r="AA45" i="40" s="1"/>
  <c r="AA47" i="40" s="1"/>
  <c r="Z13" i="40"/>
  <c r="Z35" i="40" s="1"/>
  <c r="Z38" i="40" s="1"/>
  <c r="Z45" i="40" s="1"/>
  <c r="Z47" i="40" s="1"/>
  <c r="X13" i="40"/>
  <c r="Y13" i="40" s="1"/>
  <c r="W13" i="40"/>
  <c r="W35" i="40" s="1"/>
  <c r="W38" i="40" s="1"/>
  <c r="W45" i="40" s="1"/>
  <c r="W47" i="40" s="1"/>
  <c r="V13" i="40"/>
  <c r="V35" i="40" s="1"/>
  <c r="V38" i="40" s="1"/>
  <c r="V45" i="40" s="1"/>
  <c r="V47" i="40" s="1"/>
  <c r="S13" i="40"/>
  <c r="S35" i="40" s="1"/>
  <c r="S38" i="40" s="1"/>
  <c r="Q13" i="40"/>
  <c r="L13" i="40"/>
  <c r="L35" i="40" s="1"/>
  <c r="I13" i="40"/>
  <c r="D13" i="40"/>
  <c r="E13" i="40" s="1"/>
  <c r="M12" i="40"/>
  <c r="I12" i="40"/>
  <c r="E12" i="40"/>
  <c r="AC11" i="40"/>
  <c r="Y11" i="40"/>
  <c r="U11" i="40"/>
  <c r="M11" i="40"/>
  <c r="I11" i="40"/>
  <c r="E11" i="40"/>
  <c r="AC10" i="40"/>
  <c r="Y10" i="40"/>
  <c r="U10" i="40"/>
  <c r="Q10" i="40"/>
  <c r="M10" i="40"/>
  <c r="I10" i="40"/>
  <c r="E10" i="40"/>
  <c r="M9" i="40"/>
  <c r="I9" i="40"/>
  <c r="E9" i="40"/>
  <c r="AC8" i="40"/>
  <c r="Y8" i="40"/>
  <c r="U8" i="40"/>
  <c r="Q8" i="40"/>
  <c r="M8" i="40"/>
  <c r="I8" i="40"/>
  <c r="E8" i="40"/>
  <c r="AC7" i="40"/>
  <c r="Y7" i="40"/>
  <c r="U7" i="40"/>
  <c r="Q7" i="40"/>
  <c r="M7" i="40"/>
  <c r="I7" i="40"/>
  <c r="E7" i="40"/>
  <c r="Q38" i="40" l="1"/>
  <c r="P45" i="40"/>
  <c r="Q45" i="40" s="1"/>
  <c r="M35" i="40"/>
  <c r="L38" i="40"/>
  <c r="T35" i="40"/>
  <c r="X35" i="40"/>
  <c r="AB35" i="40"/>
  <c r="U13" i="40"/>
  <c r="Q35" i="40"/>
  <c r="M13" i="40"/>
  <c r="M38" i="40" l="1"/>
  <c r="L45" i="40"/>
  <c r="M45" i="40" s="1"/>
  <c r="AB38" i="40"/>
  <c r="AC35" i="40"/>
  <c r="X38" i="40"/>
  <c r="Y35" i="40"/>
  <c r="T38" i="40"/>
  <c r="U35" i="40"/>
  <c r="Y38" i="40" l="1"/>
  <c r="X45" i="40"/>
  <c r="U38" i="40"/>
  <c r="T45" i="40"/>
  <c r="AC38" i="40"/>
  <c r="AB45" i="40"/>
  <c r="AB47" i="40" l="1"/>
  <c r="AC47" i="40" s="1"/>
  <c r="AC45" i="40"/>
  <c r="X47" i="40"/>
  <c r="Y47" i="40" s="1"/>
  <c r="Y45" i="40"/>
  <c r="T47" i="40"/>
  <c r="U47" i="40" s="1"/>
  <c r="U45" i="40"/>
  <c r="O49" i="46" l="1"/>
  <c r="O63" i="46" s="1"/>
  <c r="O37" i="46"/>
  <c r="O35" i="46"/>
  <c r="O30" i="46"/>
  <c r="O16" i="46"/>
  <c r="O13" i="46" s="1"/>
  <c r="O11" i="46" s="1"/>
  <c r="O6" i="46"/>
  <c r="O5" i="46"/>
  <c r="M63" i="46"/>
  <c r="L63" i="46"/>
  <c r="K63" i="46"/>
  <c r="I63" i="46"/>
  <c r="D63" i="46"/>
  <c r="C63" i="46"/>
  <c r="N49" i="46"/>
  <c r="N63" i="46" s="1"/>
  <c r="L49" i="46"/>
  <c r="J49" i="46"/>
  <c r="J63" i="46" s="1"/>
  <c r="H49" i="46"/>
  <c r="H63" i="46" s="1"/>
  <c r="G49" i="46"/>
  <c r="G63" i="46" s="1"/>
  <c r="G71" i="46" s="1"/>
  <c r="F49" i="46"/>
  <c r="F63" i="46" s="1"/>
  <c r="E49" i="46"/>
  <c r="E63" i="46" s="1"/>
  <c r="G40" i="46"/>
  <c r="E40" i="46"/>
  <c r="C40" i="46"/>
  <c r="N37" i="46"/>
  <c r="N35" i="46" s="1"/>
  <c r="L37" i="46"/>
  <c r="J37" i="46"/>
  <c r="J35" i="46"/>
  <c r="H35" i="46"/>
  <c r="N30" i="46"/>
  <c r="J30" i="46"/>
  <c r="H30" i="46"/>
  <c r="F30" i="46"/>
  <c r="L29" i="46"/>
  <c r="H29" i="46"/>
  <c r="H13" i="46" s="1"/>
  <c r="H11" i="46" s="1"/>
  <c r="F24" i="46"/>
  <c r="N16" i="46"/>
  <c r="N13" i="46" s="1"/>
  <c r="N11" i="46" s="1"/>
  <c r="L16" i="46"/>
  <c r="J16" i="46"/>
  <c r="H16" i="46"/>
  <c r="F16" i="46"/>
  <c r="F13" i="46"/>
  <c r="F11" i="46" s="1"/>
  <c r="D11" i="46"/>
  <c r="H8" i="46"/>
  <c r="D8" i="46"/>
  <c r="N6" i="46"/>
  <c r="N5" i="46" s="1"/>
  <c r="M6" i="46"/>
  <c r="M5" i="46" s="1"/>
  <c r="M40" i="46" s="1"/>
  <c r="L6" i="46"/>
  <c r="J6" i="46"/>
  <c r="J5" i="46" s="1"/>
  <c r="F6" i="46"/>
  <c r="F5" i="46" s="1"/>
  <c r="F40" i="46" s="1"/>
  <c r="F71" i="46" s="1"/>
  <c r="L5" i="46"/>
  <c r="K5" i="46"/>
  <c r="K40" i="46" s="1"/>
  <c r="I5" i="46"/>
  <c r="I40" i="46" s="1"/>
  <c r="H5" i="46"/>
  <c r="D5" i="46"/>
  <c r="D40" i="46" s="1"/>
  <c r="H40" i="46" l="1"/>
  <c r="J13" i="46"/>
  <c r="J11" i="46" s="1"/>
  <c r="J40" i="46" s="1"/>
  <c r="J71" i="46" s="1"/>
  <c r="D71" i="46"/>
  <c r="H71" i="46"/>
  <c r="K71" i="46"/>
  <c r="N40" i="46"/>
  <c r="L13" i="46"/>
  <c r="L11" i="46" s="1"/>
  <c r="L40" i="46" s="1"/>
  <c r="L71" i="46" s="1"/>
  <c r="J29" i="46"/>
  <c r="C71" i="46"/>
  <c r="O40" i="46"/>
  <c r="O71" i="46" s="1"/>
  <c r="E71" i="46"/>
  <c r="N71" i="46"/>
  <c r="I71" i="46"/>
  <c r="M71" i="46"/>
  <c r="H46" i="7" l="1"/>
  <c r="H45" i="7"/>
  <c r="H44" i="7"/>
  <c r="H43" i="7"/>
  <c r="H40" i="7"/>
  <c r="H39" i="7"/>
  <c r="H38" i="7"/>
  <c r="H37" i="7"/>
  <c r="H36" i="7"/>
  <c r="H33" i="7"/>
  <c r="H32" i="7"/>
  <c r="H31" i="7"/>
  <c r="H29" i="7"/>
  <c r="H28" i="7"/>
  <c r="H27" i="7"/>
  <c r="H26" i="7"/>
  <c r="H25" i="7"/>
  <c r="H24" i="7"/>
  <c r="H23" i="7"/>
  <c r="H22" i="7"/>
  <c r="H21" i="7"/>
  <c r="H20" i="7"/>
  <c r="H19" i="7"/>
  <c r="H18" i="7"/>
  <c r="H30" i="7" s="1"/>
  <c r="H17" i="7"/>
  <c r="H16" i="7"/>
  <c r="H15" i="7"/>
  <c r="H14" i="7"/>
  <c r="H13" i="7"/>
  <c r="H12" i="7"/>
  <c r="H11" i="7"/>
  <c r="H10" i="7"/>
  <c r="B9" i="7"/>
  <c r="D9" i="7" s="1"/>
  <c r="E9" i="7" s="1"/>
  <c r="F9" i="7" s="1"/>
  <c r="G9" i="7" s="1"/>
  <c r="G50" i="6" l="1"/>
  <c r="G49" i="6"/>
  <c r="G48" i="6"/>
  <c r="G47" i="6"/>
  <c r="G46" i="6"/>
  <c r="G45" i="6"/>
  <c r="G44" i="6"/>
  <c r="G43" i="6"/>
  <c r="G42" i="6"/>
  <c r="G41" i="6"/>
  <c r="G40" i="6"/>
  <c r="G39" i="6"/>
  <c r="G51" i="6" s="1"/>
  <c r="G38" i="6"/>
  <c r="G37" i="6"/>
  <c r="G36" i="6"/>
  <c r="G35" i="6"/>
  <c r="G34" i="6"/>
  <c r="G33" i="6"/>
  <c r="G32" i="6"/>
  <c r="G31" i="6"/>
  <c r="G30" i="6"/>
  <c r="G29" i="6"/>
  <c r="G28" i="6"/>
  <c r="G27" i="6"/>
  <c r="G26" i="6"/>
  <c r="G25" i="6"/>
  <c r="G24" i="6"/>
  <c r="G23" i="6"/>
  <c r="G22" i="6"/>
  <c r="G21" i="6"/>
  <c r="G20" i="6"/>
  <c r="G19" i="6"/>
  <c r="G18" i="6"/>
  <c r="G17" i="6"/>
  <c r="G16" i="6"/>
  <c r="G15" i="6"/>
  <c r="G14" i="6"/>
  <c r="G13" i="6"/>
  <c r="G12" i="6"/>
  <c r="G11" i="6"/>
  <c r="G10" i="6"/>
  <c r="G9" i="6"/>
  <c r="B8" i="6"/>
  <c r="C8" i="6" s="1"/>
  <c r="D8" i="6" s="1"/>
  <c r="E8" i="6" s="1"/>
  <c r="F8" i="6" s="1"/>
  <c r="G52" i="6" l="1"/>
  <c r="G53" i="6"/>
  <c r="G54" i="6" s="1"/>
  <c r="S5" i="46" l="1"/>
  <c r="S40" i="46" s="1"/>
  <c r="S71" i="46" s="1"/>
</calcChain>
</file>

<file path=xl/sharedStrings.xml><?xml version="1.0" encoding="utf-8"?>
<sst xmlns="http://schemas.openxmlformats.org/spreadsheetml/2006/main" count="611" uniqueCount="352">
  <si>
    <t>Экономист</t>
  </si>
  <si>
    <t>1.</t>
  </si>
  <si>
    <t>2.</t>
  </si>
  <si>
    <t>3.</t>
  </si>
  <si>
    <t>7.</t>
  </si>
  <si>
    <t>Единица измерения</t>
  </si>
  <si>
    <t>км</t>
  </si>
  <si>
    <t>Итого</t>
  </si>
  <si>
    <t>№ п.п.</t>
  </si>
  <si>
    <t>Наименование</t>
  </si>
  <si>
    <t xml:space="preserve">Напряжение, кВ </t>
  </si>
  <si>
    <t>Количество условных единиц (у) на единицу измерения</t>
  </si>
  <si>
    <t>Количество единиц измерения</t>
  </si>
  <si>
    <t>Объем условных единиц</t>
  </si>
  <si>
    <t>у/ед.изм.</t>
  </si>
  <si>
    <t>ед.изм.</t>
  </si>
  <si>
    <t>у</t>
  </si>
  <si>
    <t>L1</t>
  </si>
  <si>
    <t>L2</t>
  </si>
  <si>
    <t>L3</t>
  </si>
  <si>
    <t>7=5*6</t>
  </si>
  <si>
    <t>Подстанция</t>
  </si>
  <si>
    <t>П/ст</t>
  </si>
  <si>
    <t>400-500</t>
  </si>
  <si>
    <t>110-150</t>
  </si>
  <si>
    <t>Силовой трансформатор или реактор (одно- или трехфазный), или вольтодобавочный трансформатор</t>
  </si>
  <si>
    <t>Единица оборудования</t>
  </si>
  <si>
    <t>1-20</t>
  </si>
  <si>
    <t>Воздушный выключатель</t>
  </si>
  <si>
    <t>3 фазы</t>
  </si>
  <si>
    <t>Масляный (вакуумный) выключатель</t>
  </si>
  <si>
    <t xml:space="preserve"> - " -</t>
  </si>
  <si>
    <t>Отделитель с короткозамыкателем</t>
  </si>
  <si>
    <t>Выключатель нагрузки</t>
  </si>
  <si>
    <t>Синхронный компенсатор мощн. до 50 Мвар</t>
  </si>
  <si>
    <t>То же, 50 Мвар и более</t>
  </si>
  <si>
    <t>Статические конденсаторы</t>
  </si>
  <si>
    <t>100 конд.</t>
  </si>
  <si>
    <t>Мачтовая (столбовая) ТП</t>
  </si>
  <si>
    <t>ТП</t>
  </si>
  <si>
    <t>Однотрансфор-маторная ТП, КТП</t>
  </si>
  <si>
    <t>ТП, КТП</t>
  </si>
  <si>
    <t>Двухтрансформаторная ТП, КТП</t>
  </si>
  <si>
    <t xml:space="preserve">Однотрансфор-маторная подстанция 34/0,4 кВ </t>
  </si>
  <si>
    <t>п/ст</t>
  </si>
  <si>
    <t>14.</t>
  </si>
  <si>
    <t>ВН</t>
  </si>
  <si>
    <t>СН1</t>
  </si>
  <si>
    <t>СН2</t>
  </si>
  <si>
    <t>НН</t>
  </si>
  <si>
    <t>ЛЭП</t>
  </si>
  <si>
    <t>Количество цепей на опоре</t>
  </si>
  <si>
    <t>Материал опор</t>
  </si>
  <si>
    <t>Количество условных единиц (у) на 100 км трассы ЛЭП</t>
  </si>
  <si>
    <t>Протяженность</t>
  </si>
  <si>
    <t>у/100км</t>
  </si>
  <si>
    <t>7 = 5 * 6 /100</t>
  </si>
  <si>
    <t>ВЛЭП</t>
  </si>
  <si>
    <t>-</t>
  </si>
  <si>
    <t>металл</t>
  </si>
  <si>
    <t>400_500</t>
  </si>
  <si>
    <t>ж/бетон</t>
  </si>
  <si>
    <t>дерево</t>
  </si>
  <si>
    <t>110_150</t>
  </si>
  <si>
    <t>КЛЭП</t>
  </si>
  <si>
    <t xml:space="preserve">ВН, всего </t>
  </si>
  <si>
    <t xml:space="preserve"> 1 - 20 </t>
  </si>
  <si>
    <t xml:space="preserve">1_20 </t>
  </si>
  <si>
    <t>дерево на ж/б пасынках</t>
  </si>
  <si>
    <t>ж/бетон, металл</t>
  </si>
  <si>
    <t xml:space="preserve"> 20 -35</t>
  </si>
  <si>
    <t>20_35</t>
  </si>
  <si>
    <t xml:space="preserve"> 3 - 10</t>
  </si>
  <si>
    <t xml:space="preserve"> 3_10</t>
  </si>
  <si>
    <t>СН-1, всего</t>
  </si>
  <si>
    <t>СН-2, всего</t>
  </si>
  <si>
    <t xml:space="preserve">0,4 кВ </t>
  </si>
  <si>
    <t>0,4</t>
  </si>
  <si>
    <t xml:space="preserve">до 1 кВ </t>
  </si>
  <si>
    <t xml:space="preserve">_1 </t>
  </si>
  <si>
    <t>НН, всего</t>
  </si>
  <si>
    <t xml:space="preserve">Объем воздушных линий электропередач (ВЛЭП) и кабельных линий электропередач (КЛЭП) в условных единицах в зависимост от протяженности, напряжения, конструктивного использования и материала опор. </t>
  </si>
  <si>
    <t xml:space="preserve">Объем подстанций 35-1150 кВ, трансформаторных подстанций (ТП), комплексных трансформаторных подстанций (КТП) и распределительных пунктов(РП) 0,4-20 кВ в условных единицах. </t>
  </si>
  <si>
    <t>Таблица №2.2</t>
  </si>
  <si>
    <t>таблица 2.1</t>
  </si>
  <si>
    <t>п.п.</t>
  </si>
  <si>
    <t>Показатели</t>
  </si>
  <si>
    <t>4.</t>
  </si>
  <si>
    <t>МУП "Электросеть"</t>
  </si>
  <si>
    <t>Наименование показателя</t>
  </si>
  <si>
    <t>5.</t>
  </si>
  <si>
    <t>Услуги связи</t>
  </si>
  <si>
    <t>6.</t>
  </si>
  <si>
    <t>8.</t>
  </si>
  <si>
    <t>9.</t>
  </si>
  <si>
    <t>10.</t>
  </si>
  <si>
    <t>11.</t>
  </si>
  <si>
    <t>тыс.руб.</t>
  </si>
  <si>
    <t>Сырье, основные материалы</t>
  </si>
  <si>
    <t>из них на ремонт</t>
  </si>
  <si>
    <t>Топливо на технологические цели</t>
  </si>
  <si>
    <t xml:space="preserve">Энергия </t>
  </si>
  <si>
    <t>5.1.</t>
  </si>
  <si>
    <t>электрическая</t>
  </si>
  <si>
    <t>5.2.</t>
  </si>
  <si>
    <t>тепловая</t>
  </si>
  <si>
    <t>Затраты на оплату труда</t>
  </si>
  <si>
    <t>Отчисления на социальные нужды</t>
  </si>
  <si>
    <t>Амортизация основных средств</t>
  </si>
  <si>
    <t>Прочие затраты всего , в том числе:</t>
  </si>
  <si>
    <t>9.1.</t>
  </si>
  <si>
    <t>9.2.</t>
  </si>
  <si>
    <t>9.3.</t>
  </si>
  <si>
    <t>Плата за предельно допустимые выбросы (сбросы)</t>
  </si>
  <si>
    <t>9.7.</t>
  </si>
  <si>
    <t>Непроизводственные расходы (налоги и другие обязательные платежи и сборы)</t>
  </si>
  <si>
    <t>9.7.1.</t>
  </si>
  <si>
    <t>Налог на землю</t>
  </si>
  <si>
    <t>9.7.2.</t>
  </si>
  <si>
    <t>Налог транспортный</t>
  </si>
  <si>
    <t>9.7.3.</t>
  </si>
  <si>
    <t>налог на имущество</t>
  </si>
  <si>
    <t>9.8.</t>
  </si>
  <si>
    <t>Итого расходов</t>
  </si>
  <si>
    <t>Недополученный по независящим причинам доход</t>
  </si>
  <si>
    <t>12.</t>
  </si>
  <si>
    <t>Избыток средств, полученный в предыдущем периоде регулирования</t>
  </si>
  <si>
    <t>13.</t>
  </si>
  <si>
    <t xml:space="preserve">Расчетные расходы по производству продукции </t>
  </si>
  <si>
    <t>в том числе:</t>
  </si>
  <si>
    <t>13.1.</t>
  </si>
  <si>
    <t xml:space="preserve">   - электрическая энергия</t>
  </si>
  <si>
    <t>13.2.</t>
  </si>
  <si>
    <t xml:space="preserve">   - тепловая энергия</t>
  </si>
  <si>
    <t>13.3.</t>
  </si>
  <si>
    <t xml:space="preserve">   - прочая продукция</t>
  </si>
  <si>
    <t>прибыль</t>
  </si>
  <si>
    <t>№ п/п</t>
  </si>
  <si>
    <t>ПОДКОНТРОЛЬНЫЕ РАСХОДЫ</t>
  </si>
  <si>
    <t>Расходы на оплату труда</t>
  </si>
  <si>
    <t>Прочие расходы, всего в том числе:</t>
  </si>
  <si>
    <t>Другие прочие расходы</t>
  </si>
  <si>
    <t>ИТОГО ПОДКОНТРОЛЬНЫЕ РАСХОДЫ</t>
  </si>
  <si>
    <t>Неподконтрольные расходы</t>
  </si>
  <si>
    <t>Прочие неподконтрольные расходы - всего</t>
  </si>
  <si>
    <t>ИТОГО НЕПОДКОНРОЛЬНЫЕ РАСХОДЫ</t>
  </si>
  <si>
    <t>Работы и услуги производственного  характера</t>
  </si>
  <si>
    <t>Необходимая валовая выручка на содержание электрических сетей МУП "Электросеть"</t>
  </si>
  <si>
    <t>3</t>
  </si>
  <si>
    <t>А.Г.Вернигорова</t>
  </si>
  <si>
    <t>ГСМ</t>
  </si>
  <si>
    <t>Смета расходов, связанных с передачей электрической энергии по сетям МУП "Электросеть"</t>
  </si>
  <si>
    <t>МУП Электросеть</t>
  </si>
  <si>
    <t>Вспомогательные материалы</t>
  </si>
  <si>
    <t>Средства на  страхование</t>
  </si>
  <si>
    <t>9.4.</t>
  </si>
  <si>
    <t>Оплата за услуги по организации функционирования и развитию ЕЭС России, оперативно-диспетчерскому управлению в электроэнергетике, организации функционирования торговой системы оптового рынка электрической энергии(мощности), передаче электрической энергии апо единой национальной (общероссийской) электрической сети</t>
  </si>
  <si>
    <t>9.5.</t>
  </si>
  <si>
    <t>Отчисления в ремонтный фонд (в случае его формирования)</t>
  </si>
  <si>
    <t>9.6.</t>
  </si>
  <si>
    <t>Водный налог (ГЭС)</t>
  </si>
  <si>
    <t>Другие затраты, относимые на себестоимость продукции,всего</t>
  </si>
  <si>
    <t>9.8.1.</t>
  </si>
  <si>
    <t xml:space="preserve"> 9 мес.2014 год план</t>
  </si>
  <si>
    <t>Комитет по Ценам</t>
  </si>
  <si>
    <t xml:space="preserve"> 9 мес.2014 год факт</t>
  </si>
  <si>
    <t>Транспортный налог</t>
  </si>
  <si>
    <t>Налог на имущество</t>
  </si>
  <si>
    <t>Расходы на информационные услуги</t>
  </si>
  <si>
    <t>финансовый результат</t>
  </si>
  <si>
    <t>Целевые средства на НИОКР(расчет потерь, энергоаудит, инвестиционная программа)</t>
  </si>
  <si>
    <t xml:space="preserve">2016 год </t>
  </si>
  <si>
    <t xml:space="preserve">2015 год </t>
  </si>
  <si>
    <t>2.1</t>
  </si>
  <si>
    <t>Материальные затраты</t>
  </si>
  <si>
    <t>2.1.1</t>
  </si>
  <si>
    <t>2.1.1.1</t>
  </si>
  <si>
    <t>2.1.1.2</t>
  </si>
  <si>
    <t>прочие вспомогательные материалы</t>
  </si>
  <si>
    <r>
      <t xml:space="preserve">Работы и услуги производственного характера </t>
    </r>
    <r>
      <rPr>
        <sz val="8"/>
        <color theme="1"/>
        <rFont val="Calibri"/>
        <family val="2"/>
        <charset val="204"/>
        <scheme val="minor"/>
      </rPr>
      <t>(в т.ч. услуги сторонних организаций по содержанию сетей и распределительных устройств)</t>
    </r>
  </si>
  <si>
    <t>2.1.3</t>
  </si>
  <si>
    <t>2.2</t>
  </si>
  <si>
    <t>2.3</t>
  </si>
  <si>
    <t>2.3.1</t>
  </si>
  <si>
    <t xml:space="preserve">Ремонт основных фондов </t>
  </si>
  <si>
    <t>2.3.2</t>
  </si>
  <si>
    <t>Работы и услуги непроизводственного характера</t>
  </si>
  <si>
    <t>2.3.2.1</t>
  </si>
  <si>
    <t>Расходы на охрану и пожарную безопасность</t>
  </si>
  <si>
    <t>Расходы на услуги коммунального хозяйства</t>
  </si>
  <si>
    <t>Расходы на юридические услуги</t>
  </si>
  <si>
    <t>Расходы на консультационные услуги</t>
  </si>
  <si>
    <t>Расходы на аудиторские услуги</t>
  </si>
  <si>
    <t>Расходы на сертификацию</t>
  </si>
  <si>
    <t>Транспортные услуги</t>
  </si>
  <si>
    <t>Расходы на командировки и представительские расходы</t>
  </si>
  <si>
    <t>Расходы на обеспечение нормальных условий труда мер по технике безопасности</t>
  </si>
  <si>
    <t>Расходы на подготовку кадров</t>
  </si>
  <si>
    <t>Расходы на страхование</t>
  </si>
  <si>
    <t>Целевые средства на НИОКР</t>
  </si>
  <si>
    <t>Содержание управляющей</t>
  </si>
  <si>
    <t>2.3.2.2</t>
  </si>
  <si>
    <t>2.3.2.3</t>
  </si>
  <si>
    <t>2.3.2.4</t>
  </si>
  <si>
    <t>2.3.2.5</t>
  </si>
  <si>
    <t>2.3.2.6</t>
  </si>
  <si>
    <t>2.3.2.7</t>
  </si>
  <si>
    <t>2.3.2.8</t>
  </si>
  <si>
    <t>2.3.2.9</t>
  </si>
  <si>
    <t>2.3.2.10</t>
  </si>
  <si>
    <t>2.3.2.11</t>
  </si>
  <si>
    <t>2.3.2.12</t>
  </si>
  <si>
    <t>2.3.2.13</t>
  </si>
  <si>
    <t>2.3.2.14</t>
  </si>
  <si>
    <t>2.3.2.15</t>
  </si>
  <si>
    <t>2.3.2.16</t>
  </si>
  <si>
    <t>Внереализационные расходы</t>
  </si>
  <si>
    <t>Расходы на услуги банков</t>
  </si>
  <si>
    <t>% за пользование кредитом</t>
  </si>
  <si>
    <t>Расходы на формирование резервов по сомнительным долгам</t>
  </si>
  <si>
    <t>Другие внереализационные расходы</t>
  </si>
  <si>
    <t>3.1</t>
  </si>
  <si>
    <t>3.2</t>
  </si>
  <si>
    <t>3.3</t>
  </si>
  <si>
    <t>3.4</t>
  </si>
  <si>
    <t>4</t>
  </si>
  <si>
    <t>Расходы, не учитываемые в целях налогообложения</t>
  </si>
  <si>
    <t>Дивиденды</t>
  </si>
  <si>
    <t>Денежные выплаты социального характера ( по коллективному договору)</t>
  </si>
  <si>
    <t>Резервный фонд</t>
  </si>
  <si>
    <t>4.1</t>
  </si>
  <si>
    <t>4.2</t>
  </si>
  <si>
    <t>4.3</t>
  </si>
  <si>
    <t>4.4</t>
  </si>
  <si>
    <t>5.1</t>
  </si>
  <si>
    <t>5.2</t>
  </si>
  <si>
    <t>Энергия на хоз. нужды</t>
  </si>
  <si>
    <t>Теплоэнергия</t>
  </si>
  <si>
    <t>Плата за за аренду имущества и лизинг</t>
  </si>
  <si>
    <t>5.3</t>
  </si>
  <si>
    <t>5.4</t>
  </si>
  <si>
    <t>5.5</t>
  </si>
  <si>
    <t>Налоги ,всего, в т.ч.:</t>
  </si>
  <si>
    <t>Плата за землю</t>
  </si>
  <si>
    <t>Прочие налоги сборы</t>
  </si>
  <si>
    <t>5.5.1</t>
  </si>
  <si>
    <t>5.5.2</t>
  </si>
  <si>
    <t>5.5.3</t>
  </si>
  <si>
    <t>5.5.4</t>
  </si>
  <si>
    <t>5.6</t>
  </si>
  <si>
    <t>Отчисления на социальные нужды (ЕСН)</t>
  </si>
  <si>
    <t>5.7</t>
  </si>
  <si>
    <t>Налог на прибыль</t>
  </si>
  <si>
    <t>Амортизация</t>
  </si>
  <si>
    <t>Амортизация, учитываемая при налогообложении</t>
  </si>
  <si>
    <t>Амортизация, не учитываемая при налогообложении</t>
  </si>
  <si>
    <t>Погашение заемных средств</t>
  </si>
  <si>
    <t>Капитальные вложения</t>
  </si>
  <si>
    <t>5.8</t>
  </si>
  <si>
    <t>5.9</t>
  </si>
  <si>
    <t>5.10</t>
  </si>
  <si>
    <t>5.10.1</t>
  </si>
  <si>
    <t>5.10.2</t>
  </si>
  <si>
    <t>5.11</t>
  </si>
  <si>
    <t>5.12</t>
  </si>
  <si>
    <t>Расходы, связанные с компенсацией незапланированных расходов / полученный избыток</t>
  </si>
  <si>
    <t>6</t>
  </si>
  <si>
    <t>7</t>
  </si>
  <si>
    <t>Необходимая валовая выручка , всего</t>
  </si>
  <si>
    <t>2015 год факт</t>
  </si>
  <si>
    <t>Выпадающие доходы от технологического присоединения</t>
  </si>
  <si>
    <t>9.9.</t>
  </si>
  <si>
    <t>Факт 2015 года</t>
  </si>
  <si>
    <t>Отклонения</t>
  </si>
  <si>
    <t>2016 год-план</t>
  </si>
  <si>
    <t>2015год- план</t>
  </si>
  <si>
    <t>Факт 2016 года</t>
  </si>
  <si>
    <t>2017 год-план</t>
  </si>
  <si>
    <t>2016 год факт</t>
  </si>
  <si>
    <t>2019 год</t>
  </si>
  <si>
    <t>2020 год</t>
  </si>
  <si>
    <t>2021 год</t>
  </si>
  <si>
    <t>2022 год</t>
  </si>
  <si>
    <t>Примечание.При расчете условных единиц протяженности ВЛЭП-0,4кВ от линии до</t>
  </si>
  <si>
    <t>ввода в здание не учитывается</t>
  </si>
  <si>
    <t>Условные единицы по ВЛЭП-0,4 кВ учитываются трудозатраты на обслуживание и ремонт</t>
  </si>
  <si>
    <t>а) воздушных линий в здание</t>
  </si>
  <si>
    <t>б)линий с совместной подвеской проводов.</t>
  </si>
  <si>
    <t xml:space="preserve">Условные единицы по ВЛЭП 0,4*20кВ учитывают трудозатраты оперативного персонала </t>
  </si>
  <si>
    <t>распределительных сетей 0,4-20 кВ.</t>
  </si>
  <si>
    <t>Кабельные вводы учтны в условных единицах КЛЭП напряжением до 1 кВ.</t>
  </si>
  <si>
    <t>исп.инженер Сорокина Т.А.</t>
  </si>
  <si>
    <t>т.8(42137)72574</t>
  </si>
  <si>
    <t xml:space="preserve">2017 год </t>
  </si>
  <si>
    <t>2017 год факт</t>
  </si>
  <si>
    <t xml:space="preserve">2018 год </t>
  </si>
  <si>
    <t>2018 год факт</t>
  </si>
  <si>
    <t>2019 год факт</t>
  </si>
  <si>
    <t>2020 год факт</t>
  </si>
  <si>
    <t>Прочие расходы из прибыли</t>
  </si>
  <si>
    <t>Плата за аренду имущества и лизинг</t>
  </si>
  <si>
    <t>Корректировка НВВ с учетом понижающего(повышающего) коэффициента (КНКi)</t>
  </si>
  <si>
    <t>8</t>
  </si>
  <si>
    <t>Факт, принятый комитетом 2020 год</t>
  </si>
  <si>
    <t>Факт 2017 года</t>
  </si>
  <si>
    <t>2018 год-план</t>
  </si>
  <si>
    <t>Факт 2018 года</t>
  </si>
  <si>
    <t>2019 год-план</t>
  </si>
  <si>
    <t>Факт 2019 года</t>
  </si>
  <si>
    <t>2020 год-план</t>
  </si>
  <si>
    <t>Факт 2020 года</t>
  </si>
  <si>
    <t>в т.ч. Плата за аренду имущества и лизинг</t>
  </si>
  <si>
    <t>Денежные выплаты социального характера</t>
  </si>
  <si>
    <t>14.1.</t>
  </si>
  <si>
    <t>14.2.</t>
  </si>
  <si>
    <t>НВВ на содержание электрических сетей</t>
  </si>
  <si>
    <t>Покупка электроэнергии на компенсацию потерь</t>
  </si>
  <si>
    <t>НВВ от регулируемой деятельности</t>
  </si>
  <si>
    <t>Выручка</t>
  </si>
  <si>
    <t>Финансовый результат (убыток)</t>
  </si>
  <si>
    <t>(-3234,1)</t>
  </si>
  <si>
    <t>(-3729,77)</t>
  </si>
  <si>
    <t>(-37774)</t>
  </si>
  <si>
    <t>(-12930)</t>
  </si>
  <si>
    <t>2021 год-план</t>
  </si>
  <si>
    <t>Факт 2021 года</t>
  </si>
  <si>
    <t>2021 год факт</t>
  </si>
  <si>
    <t>2024 год</t>
  </si>
  <si>
    <t>ИТОГО НЕПОДКОНТРОЛЬНЫЕ РАСХОДЫ</t>
  </si>
  <si>
    <t>2022 год-план</t>
  </si>
  <si>
    <t>Факт 2022 года</t>
  </si>
  <si>
    <t>2022 год факт</t>
  </si>
  <si>
    <t>9</t>
  </si>
  <si>
    <t>10</t>
  </si>
  <si>
    <t>11</t>
  </si>
  <si>
    <t>Эдпр - размер экономии расходов на оплату потерь электрической энергии</t>
  </si>
  <si>
    <t>расходы на коммерческий учет</t>
  </si>
  <si>
    <t>Корректировка НВВ на оплату потерь за 2021 год по решению ФАС</t>
  </si>
  <si>
    <t>2024 год.</t>
  </si>
  <si>
    <t>Необходимая валовая выручка на содержание электрических сетей МУП "Электросеть" на 2024 год</t>
  </si>
  <si>
    <t xml:space="preserve">Эксперты 2024 год </t>
  </si>
  <si>
    <t xml:space="preserve">МУП "Электросеть"2024 год </t>
  </si>
  <si>
    <t>Отчет об использовании за 2021-2022 годы</t>
  </si>
  <si>
    <t>Капитальные вложения (установка интеллектуальных приборов учета)  по факту 2022 года</t>
  </si>
  <si>
    <t>Недополученный доход (затраты по НДС за 2022 год)</t>
  </si>
  <si>
    <t>расчет</t>
  </si>
  <si>
    <t>59,1*1,07*1,2</t>
  </si>
  <si>
    <t>Гл.инженер</t>
  </si>
  <si>
    <t>Измайлова Л.М.</t>
  </si>
  <si>
    <t>Руководитель</t>
  </si>
  <si>
    <t>Л.М.Измайлова</t>
  </si>
  <si>
    <t>Оплата услуг ПАО "Россети"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</si>
</sst>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6" formatCode="0.0"/>
  </numFmts>
  <fonts count="28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 Cyr"/>
      <charset val="204"/>
    </font>
    <font>
      <sz val="8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name val="Franklin Gothic Medium"/>
      <family val="2"/>
      <charset val="204"/>
    </font>
    <font>
      <b/>
      <sz val="10"/>
      <name val="Franklin Gothic Medium"/>
      <family val="2"/>
      <charset val="204"/>
    </font>
    <font>
      <b/>
      <sz val="9"/>
      <name val="Tahoma"/>
      <family val="2"/>
      <charset val="204"/>
    </font>
    <font>
      <sz val="9"/>
      <name val="Tahoma"/>
      <family val="2"/>
      <charset val="204"/>
    </font>
    <font>
      <b/>
      <sz val="12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Arial Cyr"/>
      <charset val="204"/>
    </font>
    <font>
      <b/>
      <sz val="10"/>
      <color indexed="8"/>
      <name val="Tahoma"/>
      <family val="2"/>
      <charset val="204"/>
    </font>
    <font>
      <b/>
      <sz val="10"/>
      <name val="Tahoma"/>
      <family val="2"/>
      <charset val="204"/>
    </font>
    <font>
      <sz val="10"/>
      <name val="Tahoma"/>
      <family val="2"/>
      <charset val="204"/>
    </font>
    <font>
      <b/>
      <sz val="12"/>
      <color theme="1"/>
      <name val="Calibri"/>
      <family val="2"/>
      <charset val="204"/>
      <scheme val="minor"/>
    </font>
    <font>
      <sz val="10"/>
      <color rgb="FFFF0000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7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6" tint="0.79998168889431442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9">
    <xf numFmtId="0" fontId="0" fillId="0" borderId="0"/>
    <xf numFmtId="0" fontId="10" fillId="0" borderId="0" applyBorder="0">
      <alignment horizontal="center" vertical="center" wrapText="1"/>
    </xf>
    <xf numFmtId="0" fontId="12" fillId="0" borderId="10" applyBorder="0">
      <alignment horizontal="center" vertical="center" wrapText="1"/>
    </xf>
    <xf numFmtId="4" fontId="13" fillId="3" borderId="2" applyBorder="0">
      <alignment horizontal="right"/>
    </xf>
    <xf numFmtId="4" fontId="13" fillId="4" borderId="0" applyBorder="0">
      <alignment horizontal="right"/>
    </xf>
    <xf numFmtId="4" fontId="13" fillId="5" borderId="11" applyBorder="0">
      <alignment horizontal="right"/>
    </xf>
    <xf numFmtId="0" fontId="2" fillId="0" borderId="0"/>
    <xf numFmtId="49" fontId="13" fillId="0" borderId="0" applyBorder="0">
      <alignment vertical="top"/>
    </xf>
    <xf numFmtId="164" fontId="8" fillId="0" borderId="0" applyFont="0" applyFill="0" applyBorder="0" applyAlignment="0" applyProtection="0"/>
  </cellStyleXfs>
  <cellXfs count="163">
    <xf numFmtId="0" fontId="0" fillId="0" borderId="0" xfId="0"/>
    <xf numFmtId="0" fontId="0" fillId="2" borderId="0" xfId="0" applyFill="1"/>
    <xf numFmtId="0" fontId="6" fillId="2" borderId="0" xfId="0" applyFont="1" applyFill="1"/>
    <xf numFmtId="0" fontId="7" fillId="0" borderId="0" xfId="0" applyFont="1"/>
    <xf numFmtId="0" fontId="12" fillId="0" borderId="13" xfId="2" applyBorder="1">
      <alignment horizontal="center" vertical="center" wrapText="1"/>
    </xf>
    <xf numFmtId="0" fontId="12" fillId="0" borderId="5" xfId="2" applyBorder="1">
      <alignment horizontal="center" vertical="center" wrapText="1"/>
    </xf>
    <xf numFmtId="0" fontId="12" fillId="0" borderId="2" xfId="2" applyFont="1" applyBorder="1">
      <alignment horizontal="center" vertical="center" wrapText="1"/>
    </xf>
    <xf numFmtId="0" fontId="12" fillId="0" borderId="5" xfId="2" applyFont="1" applyBorder="1">
      <alignment horizontal="center" vertical="center" wrapText="1"/>
    </xf>
    <xf numFmtId="49" fontId="0" fillId="0" borderId="2" xfId="0" applyNumberFormat="1" applyBorder="1" applyAlignment="1">
      <alignment vertical="top"/>
    </xf>
    <xf numFmtId="4" fontId="13" fillId="3" borderId="2" xfId="3" applyNumberFormat="1" applyBorder="1" applyProtection="1">
      <alignment horizontal="right"/>
    </xf>
    <xf numFmtId="4" fontId="13" fillId="4" borderId="5" xfId="4" applyBorder="1">
      <alignment horizontal="right"/>
    </xf>
    <xf numFmtId="17" fontId="0" fillId="0" borderId="2" xfId="0" quotePrefix="1" applyNumberFormat="1" applyBorder="1" applyAlignment="1">
      <alignment vertical="top"/>
    </xf>
    <xf numFmtId="4" fontId="0" fillId="3" borderId="2" xfId="0" applyNumberFormat="1" applyFill="1" applyBorder="1" applyAlignment="1" applyProtection="1">
      <alignment vertical="top"/>
    </xf>
    <xf numFmtId="4" fontId="12" fillId="4" borderId="5" xfId="4" applyFont="1" applyBorder="1">
      <alignment horizontal="right"/>
    </xf>
    <xf numFmtId="49" fontId="0" fillId="0" borderId="14" xfId="0" applyNumberFormat="1" applyBorder="1" applyAlignment="1">
      <alignment vertical="top"/>
    </xf>
    <xf numFmtId="4" fontId="0" fillId="3" borderId="14" xfId="0" applyNumberFormat="1" applyFill="1" applyBorder="1" applyAlignment="1" applyProtection="1">
      <alignment vertical="top"/>
    </xf>
    <xf numFmtId="4" fontId="12" fillId="4" borderId="15" xfId="5" applyFont="1" applyFill="1" applyBorder="1">
      <alignment horizontal="right"/>
    </xf>
    <xf numFmtId="0" fontId="9" fillId="0" borderId="0" xfId="0" applyFont="1"/>
    <xf numFmtId="0" fontId="3" fillId="2" borderId="2" xfId="0" applyFont="1" applyFill="1" applyBorder="1"/>
    <xf numFmtId="0" fontId="0" fillId="2" borderId="2" xfId="0" applyFill="1" applyBorder="1"/>
    <xf numFmtId="0" fontId="0" fillId="2" borderId="2" xfId="0" applyFill="1" applyBorder="1" applyAlignment="1">
      <alignment wrapText="1"/>
    </xf>
    <xf numFmtId="1" fontId="0" fillId="2" borderId="2" xfId="0" applyNumberFormat="1" applyFill="1" applyBorder="1"/>
    <xf numFmtId="0" fontId="6" fillId="2" borderId="2" xfId="6" applyFont="1" applyFill="1" applyBorder="1" applyAlignment="1">
      <alignment horizontal="center"/>
    </xf>
    <xf numFmtId="0" fontId="5" fillId="2" borderId="2" xfId="6" applyFont="1" applyFill="1" applyBorder="1" applyAlignment="1">
      <alignment horizontal="center"/>
    </xf>
    <xf numFmtId="16" fontId="6" fillId="2" borderId="2" xfId="6" applyNumberFormat="1" applyFont="1" applyFill="1" applyBorder="1" applyAlignment="1">
      <alignment horizontal="center"/>
    </xf>
    <xf numFmtId="0" fontId="3" fillId="2" borderId="2" xfId="0" applyFont="1" applyFill="1" applyBorder="1" applyAlignment="1">
      <alignment wrapText="1"/>
    </xf>
    <xf numFmtId="0" fontId="0" fillId="2" borderId="0" xfId="0" applyFill="1" applyBorder="1"/>
    <xf numFmtId="0" fontId="9" fillId="2" borderId="2" xfId="0" applyFont="1" applyFill="1" applyBorder="1"/>
    <xf numFmtId="0" fontId="20" fillId="0" borderId="12" xfId="2" applyNumberFormat="1" applyFont="1" applyBorder="1">
      <alignment horizontal="center" vertical="center" wrapText="1"/>
    </xf>
    <xf numFmtId="0" fontId="20" fillId="0" borderId="13" xfId="2" applyFont="1" applyBorder="1">
      <alignment horizontal="center" vertical="center" wrapText="1"/>
    </xf>
    <xf numFmtId="0" fontId="20" fillId="0" borderId="2" xfId="2" applyNumberFormat="1" applyFont="1" applyBorder="1">
      <alignment horizontal="center" vertical="center" wrapText="1"/>
    </xf>
    <xf numFmtId="0" fontId="20" fillId="0" borderId="5" xfId="2" applyFont="1" applyBorder="1">
      <alignment horizontal="center" vertical="center" wrapText="1"/>
    </xf>
    <xf numFmtId="0" fontId="20" fillId="0" borderId="4" xfId="2" applyFont="1" applyBorder="1">
      <alignment horizontal="center" vertical="center" wrapText="1"/>
    </xf>
    <xf numFmtId="4" fontId="21" fillId="3" borderId="2" xfId="3" applyNumberFormat="1" applyFont="1" applyBorder="1" applyProtection="1">
      <alignment horizontal="right"/>
    </xf>
    <xf numFmtId="4" fontId="21" fillId="4" borderId="5" xfId="4" applyFont="1" applyBorder="1">
      <alignment horizontal="right"/>
    </xf>
    <xf numFmtId="4" fontId="7" fillId="3" borderId="2" xfId="0" applyNumberFormat="1" applyFont="1" applyFill="1" applyBorder="1" applyAlignment="1" applyProtection="1">
      <alignment vertical="top"/>
    </xf>
    <xf numFmtId="4" fontId="20" fillId="4" borderId="5" xfId="4" applyFont="1" applyBorder="1">
      <alignment horizontal="right"/>
    </xf>
    <xf numFmtId="4" fontId="21" fillId="3" borderId="2" xfId="3" applyNumberFormat="1" applyFont="1" applyFill="1" applyBorder="1" applyProtection="1">
      <alignment horizontal="right"/>
    </xf>
    <xf numFmtId="4" fontId="21" fillId="6" borderId="2" xfId="3" applyNumberFormat="1" applyFont="1" applyFill="1" applyBorder="1" applyProtection="1">
      <alignment horizontal="right"/>
    </xf>
    <xf numFmtId="49" fontId="7" fillId="0" borderId="8" xfId="0" applyNumberFormat="1" applyFont="1" applyBorder="1" applyAlignment="1">
      <alignment vertical="top"/>
    </xf>
    <xf numFmtId="49" fontId="7" fillId="0" borderId="14" xfId="0" applyNumberFormat="1" applyFont="1" applyBorder="1" applyAlignment="1">
      <alignment vertical="top"/>
    </xf>
    <xf numFmtId="4" fontId="7" fillId="3" borderId="14" xfId="0" applyNumberFormat="1" applyFont="1" applyFill="1" applyBorder="1" applyAlignment="1" applyProtection="1">
      <alignment vertical="top"/>
    </xf>
    <xf numFmtId="4" fontId="20" fillId="4" borderId="15" xfId="4" applyNumberFormat="1" applyFont="1" applyBorder="1">
      <alignment horizontal="right"/>
    </xf>
    <xf numFmtId="0" fontId="16" fillId="0" borderId="0" xfId="0" applyFont="1"/>
    <xf numFmtId="0" fontId="9" fillId="2" borderId="0" xfId="0" applyFont="1" applyFill="1" applyBorder="1"/>
    <xf numFmtId="0" fontId="1" fillId="2" borderId="2" xfId="0" applyFont="1" applyFill="1" applyBorder="1" applyAlignment="1">
      <alignment wrapText="1"/>
    </xf>
    <xf numFmtId="0" fontId="6" fillId="2" borderId="2" xfId="0" applyFont="1" applyFill="1" applyBorder="1"/>
    <xf numFmtId="2" fontId="6" fillId="2" borderId="2" xfId="0" applyNumberFormat="1" applyFont="1" applyFill="1" applyBorder="1"/>
    <xf numFmtId="166" fontId="6" fillId="2" borderId="2" xfId="0" applyNumberFormat="1" applyFont="1" applyFill="1" applyBorder="1"/>
    <xf numFmtId="0" fontId="23" fillId="2" borderId="2" xfId="0" applyFont="1" applyFill="1" applyBorder="1"/>
    <xf numFmtId="166" fontId="5" fillId="2" borderId="2" xfId="0" applyNumberFormat="1" applyFont="1" applyFill="1" applyBorder="1"/>
    <xf numFmtId="2" fontId="5" fillId="2" borderId="2" xfId="0" applyNumberFormat="1" applyFont="1" applyFill="1" applyBorder="1"/>
    <xf numFmtId="0" fontId="5" fillId="2" borderId="2" xfId="0" applyFont="1" applyFill="1" applyBorder="1"/>
    <xf numFmtId="0" fontId="5" fillId="2" borderId="7" xfId="0" applyFont="1" applyFill="1" applyBorder="1" applyAlignment="1">
      <alignment horizontal="center" wrapText="1"/>
    </xf>
    <xf numFmtId="0" fontId="6" fillId="2" borderId="0" xfId="6" applyFont="1" applyFill="1"/>
    <xf numFmtId="0" fontId="5" fillId="2" borderId="2" xfId="6" applyFont="1" applyFill="1" applyBorder="1" applyAlignment="1">
      <alignment horizontal="center" vertical="center" wrapText="1"/>
    </xf>
    <xf numFmtId="0" fontId="6" fillId="2" borderId="2" xfId="6" applyFont="1" applyFill="1" applyBorder="1" applyAlignment="1">
      <alignment wrapText="1"/>
    </xf>
    <xf numFmtId="0" fontId="6" fillId="2" borderId="2" xfId="6" applyFont="1" applyFill="1" applyBorder="1" applyAlignment="1">
      <alignment horizontal="left" wrapText="1"/>
    </xf>
    <xf numFmtId="0" fontId="6" fillId="2" borderId="2" xfId="6" applyFont="1" applyFill="1" applyBorder="1" applyAlignment="1">
      <alignment horizontal="left" vertical="center" wrapText="1"/>
    </xf>
    <xf numFmtId="0" fontId="6" fillId="2" borderId="2" xfId="6" applyFont="1" applyFill="1" applyBorder="1" applyAlignment="1">
      <alignment horizontal="center" vertical="top"/>
    </xf>
    <xf numFmtId="0" fontId="6" fillId="2" borderId="2" xfId="6" applyFont="1" applyFill="1" applyBorder="1" applyAlignment="1">
      <alignment vertical="top" wrapText="1"/>
    </xf>
    <xf numFmtId="0" fontId="5" fillId="2" borderId="2" xfId="6" applyFont="1" applyFill="1" applyBorder="1" applyAlignment="1">
      <alignment wrapText="1"/>
    </xf>
    <xf numFmtId="0" fontId="5" fillId="2" borderId="2" xfId="0" applyFont="1" applyFill="1" applyBorder="1" applyAlignment="1">
      <alignment horizontal="left" vertical="top"/>
    </xf>
    <xf numFmtId="2" fontId="0" fillId="2" borderId="2" xfId="0" applyNumberFormat="1" applyFill="1" applyBorder="1"/>
    <xf numFmtId="0" fontId="0" fillId="2" borderId="2" xfId="0" applyFont="1" applyFill="1" applyBorder="1" applyAlignment="1">
      <alignment wrapText="1"/>
    </xf>
    <xf numFmtId="0" fontId="3" fillId="2" borderId="0" xfId="0" applyFont="1" applyFill="1" applyBorder="1" applyAlignment="1">
      <alignment wrapText="1"/>
    </xf>
    <xf numFmtId="2" fontId="0" fillId="2" borderId="0" xfId="0" applyNumberFormat="1" applyFill="1" applyBorder="1"/>
    <xf numFmtId="2" fontId="9" fillId="2" borderId="2" xfId="0" applyNumberFormat="1" applyFont="1" applyFill="1" applyBorder="1"/>
    <xf numFmtId="49" fontId="0" fillId="2" borderId="2" xfId="0" applyNumberFormat="1" applyFill="1" applyBorder="1" applyAlignment="1">
      <alignment horizontal="right"/>
    </xf>
    <xf numFmtId="49" fontId="0" fillId="2" borderId="2" xfId="0" applyNumberFormat="1" applyFill="1" applyBorder="1"/>
    <xf numFmtId="49" fontId="0" fillId="2" borderId="0" xfId="0" applyNumberFormat="1" applyFill="1" applyBorder="1"/>
    <xf numFmtId="49" fontId="9" fillId="2" borderId="2" xfId="0" applyNumberFormat="1" applyFont="1" applyFill="1" applyBorder="1" applyAlignment="1">
      <alignment horizontal="right"/>
    </xf>
    <xf numFmtId="49" fontId="3" fillId="2" borderId="2" xfId="0" applyNumberFormat="1" applyFont="1" applyFill="1" applyBorder="1"/>
    <xf numFmtId="49" fontId="0" fillId="2" borderId="2" xfId="0" applyNumberFormat="1" applyFont="1" applyFill="1" applyBorder="1" applyAlignment="1">
      <alignment horizontal="right"/>
    </xf>
    <xf numFmtId="49" fontId="9" fillId="2" borderId="2" xfId="0" applyNumberFormat="1" applyFont="1" applyFill="1" applyBorder="1" applyAlignment="1">
      <alignment horizontal="center" vertical="top"/>
    </xf>
    <xf numFmtId="49" fontId="9" fillId="2" borderId="2" xfId="0" applyNumberFormat="1" applyFont="1" applyFill="1" applyBorder="1" applyAlignment="1">
      <alignment horizontal="center"/>
    </xf>
    <xf numFmtId="0" fontId="18" fillId="2" borderId="2" xfId="0" applyFont="1" applyFill="1" applyBorder="1" applyAlignment="1">
      <alignment wrapText="1"/>
    </xf>
    <xf numFmtId="0" fontId="25" fillId="2" borderId="2" xfId="0" applyFont="1" applyFill="1" applyBorder="1" applyAlignment="1">
      <alignment wrapText="1"/>
    </xf>
    <xf numFmtId="0" fontId="22" fillId="2" borderId="2" xfId="0" applyFont="1" applyFill="1" applyBorder="1" applyAlignment="1">
      <alignment wrapText="1"/>
    </xf>
    <xf numFmtId="0" fontId="6" fillId="2" borderId="2" xfId="0" applyFont="1" applyFill="1" applyBorder="1" applyAlignment="1">
      <alignment horizontal="center"/>
    </xf>
    <xf numFmtId="0" fontId="0" fillId="7" borderId="0" xfId="0" applyFill="1"/>
    <xf numFmtId="0" fontId="9" fillId="7" borderId="0" xfId="0" applyFont="1" applyFill="1"/>
    <xf numFmtId="4" fontId="0" fillId="0" borderId="0" xfId="0" applyNumberFormat="1"/>
    <xf numFmtId="0" fontId="7" fillId="7" borderId="0" xfId="0" applyFont="1" applyFill="1"/>
    <xf numFmtId="0" fontId="16" fillId="7" borderId="0" xfId="0" applyFont="1" applyFill="1"/>
    <xf numFmtId="0" fontId="0" fillId="2" borderId="2" xfId="8" applyNumberFormat="1" applyFont="1" applyFill="1" applyBorder="1" applyAlignment="1">
      <alignment horizontal="right"/>
    </xf>
    <xf numFmtId="49" fontId="0" fillId="0" borderId="4" xfId="0" applyNumberFormat="1" applyBorder="1" applyAlignment="1">
      <alignment vertical="top"/>
    </xf>
    <xf numFmtId="49" fontId="0" fillId="0" borderId="2" xfId="0" applyNumberFormat="1" applyBorder="1" applyAlignment="1">
      <alignment vertical="top" wrapText="1"/>
    </xf>
    <xf numFmtId="0" fontId="12" fillId="0" borderId="4" xfId="2" applyBorder="1">
      <alignment horizontal="center" vertical="center" wrapText="1"/>
    </xf>
    <xf numFmtId="0" fontId="12" fillId="0" borderId="2" xfId="2" applyBorder="1" applyAlignment="1">
      <alignment horizontal="center" vertical="center" wrapText="1"/>
    </xf>
    <xf numFmtId="0" fontId="12" fillId="0" borderId="12" xfId="2" applyBorder="1">
      <alignment horizontal="center" vertical="center" wrapText="1"/>
    </xf>
    <xf numFmtId="0" fontId="12" fillId="0" borderId="2" xfId="2" applyBorder="1">
      <alignment horizontal="center" vertical="center" wrapText="1"/>
    </xf>
    <xf numFmtId="49" fontId="7" fillId="0" borderId="4" xfId="0" applyNumberFormat="1" applyFont="1" applyBorder="1" applyAlignment="1">
      <alignment vertical="top"/>
    </xf>
    <xf numFmtId="49" fontId="7" fillId="0" borderId="2" xfId="0" applyNumberFormat="1" applyFont="1" applyBorder="1" applyAlignment="1">
      <alignment vertical="top"/>
    </xf>
    <xf numFmtId="0" fontId="19" fillId="0" borderId="4" xfId="2" applyFont="1" applyBorder="1">
      <alignment horizontal="center" vertical="center" wrapText="1"/>
    </xf>
    <xf numFmtId="0" fontId="20" fillId="0" borderId="12" xfId="2" applyFont="1" applyBorder="1">
      <alignment horizontal="center" vertical="center" wrapText="1"/>
    </xf>
    <xf numFmtId="0" fontId="20" fillId="0" borderId="2" xfId="2" applyFont="1" applyBorder="1">
      <alignment horizontal="center" vertical="center" wrapText="1"/>
    </xf>
    <xf numFmtId="0" fontId="4" fillId="0" borderId="0" xfId="0" applyFont="1"/>
    <xf numFmtId="4" fontId="20" fillId="4" borderId="5" xfId="4" applyNumberFormat="1" applyFont="1" applyBorder="1">
      <alignment horizontal="right"/>
    </xf>
    <xf numFmtId="0" fontId="26" fillId="2" borderId="2" xfId="0" applyFont="1" applyFill="1" applyBorder="1" applyAlignment="1">
      <alignment wrapText="1"/>
    </xf>
    <xf numFmtId="0" fontId="27" fillId="2" borderId="0" xfId="0" applyFont="1" applyFill="1"/>
    <xf numFmtId="16" fontId="6" fillId="2" borderId="9" xfId="6" applyNumberFormat="1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14" fillId="2" borderId="2" xfId="0" applyFont="1" applyFill="1" applyBorder="1" applyAlignment="1">
      <alignment horizontal="center" vertical="center"/>
    </xf>
    <xf numFmtId="0" fontId="17" fillId="2" borderId="2" xfId="0" applyFont="1" applyFill="1" applyBorder="1"/>
    <xf numFmtId="0" fontId="15" fillId="2" borderId="2" xfId="0" applyFont="1" applyFill="1" applyBorder="1"/>
    <xf numFmtId="0" fontId="5" fillId="2" borderId="2" xfId="0" applyFont="1" applyFill="1" applyBorder="1" applyAlignment="1">
      <alignment horizontal="center" vertical="center"/>
    </xf>
    <xf numFmtId="166" fontId="15" fillId="2" borderId="2" xfId="0" applyNumberFormat="1" applyFont="1" applyFill="1" applyBorder="1"/>
    <xf numFmtId="0" fontId="15" fillId="2" borderId="2" xfId="0" applyFont="1" applyFill="1" applyBorder="1" applyAlignment="1">
      <alignment horizontal="center"/>
    </xf>
    <xf numFmtId="0" fontId="6" fillId="2" borderId="0" xfId="0" applyFont="1" applyFill="1" applyAlignment="1">
      <alignment horizontal="right"/>
    </xf>
    <xf numFmtId="2" fontId="9" fillId="2" borderId="0" xfId="0" applyNumberFormat="1" applyFont="1" applyFill="1" applyBorder="1"/>
    <xf numFmtId="4" fontId="7" fillId="0" borderId="0" xfId="0" applyNumberFormat="1" applyFont="1"/>
    <xf numFmtId="49" fontId="0" fillId="2" borderId="9" xfId="0" applyNumberFormat="1" applyFill="1" applyBorder="1" applyAlignment="1">
      <alignment horizontal="left"/>
    </xf>
    <xf numFmtId="0" fontId="0" fillId="2" borderId="2" xfId="0" applyFont="1" applyFill="1" applyBorder="1"/>
    <xf numFmtId="0" fontId="5" fillId="2" borderId="0" xfId="6" applyFont="1" applyFill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wrapText="1"/>
    </xf>
    <xf numFmtId="0" fontId="5" fillId="2" borderId="2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0" fillId="7" borderId="2" xfId="0" applyFill="1" applyBorder="1"/>
    <xf numFmtId="0" fontId="22" fillId="2" borderId="0" xfId="0" applyFont="1" applyFill="1" applyBorder="1" applyAlignment="1">
      <alignment wrapText="1"/>
    </xf>
    <xf numFmtId="0" fontId="27" fillId="2" borderId="0" xfId="0" applyFont="1" applyFill="1" applyAlignment="1">
      <alignment horizontal="left" vertical="center" wrapText="1"/>
    </xf>
    <xf numFmtId="0" fontId="24" fillId="2" borderId="0" xfId="0" applyFont="1" applyFill="1"/>
    <xf numFmtId="0" fontId="3" fillId="2" borderId="0" xfId="0" applyFont="1" applyFill="1" applyBorder="1" applyAlignment="1">
      <alignment horizontal="center" vertical="center" wrapText="1"/>
    </xf>
    <xf numFmtId="49" fontId="9" fillId="2" borderId="2" xfId="0" applyNumberFormat="1" applyFont="1" applyFill="1" applyBorder="1" applyAlignment="1">
      <alignment wrapText="1"/>
    </xf>
    <xf numFmtId="0" fontId="9" fillId="2" borderId="2" xfId="0" applyFont="1" applyFill="1" applyBorder="1" applyAlignment="1">
      <alignment wrapText="1"/>
    </xf>
    <xf numFmtId="0" fontId="0" fillId="7" borderId="0" xfId="0" applyFill="1" applyAlignment="1">
      <alignment horizontal="center"/>
    </xf>
    <xf numFmtId="49" fontId="0" fillId="0" borderId="4" xfId="0" applyNumberFormat="1" applyBorder="1" applyAlignment="1">
      <alignment horizontal="left" vertical="top"/>
    </xf>
    <xf numFmtId="49" fontId="0" fillId="0" borderId="2" xfId="0" applyNumberFormat="1" applyBorder="1" applyAlignment="1">
      <alignment horizontal="left" vertical="top" wrapText="1"/>
    </xf>
    <xf numFmtId="49" fontId="0" fillId="0" borderId="2" xfId="0" applyNumberFormat="1" applyBorder="1" applyAlignment="1">
      <alignment horizontal="center" vertical="top" wrapText="1"/>
    </xf>
    <xf numFmtId="49" fontId="0" fillId="0" borderId="4" xfId="0" applyNumberFormat="1" applyBorder="1" applyAlignment="1">
      <alignment vertical="top"/>
    </xf>
    <xf numFmtId="49" fontId="0" fillId="0" borderId="8" xfId="0" applyNumberFormat="1" applyBorder="1" applyAlignment="1">
      <alignment vertical="top"/>
    </xf>
    <xf numFmtId="49" fontId="12" fillId="0" borderId="2" xfId="0" applyNumberFormat="1" applyFont="1" applyBorder="1" applyAlignment="1">
      <alignment horizontal="center" vertical="center"/>
    </xf>
    <xf numFmtId="49" fontId="12" fillId="0" borderId="14" xfId="0" applyNumberFormat="1" applyFont="1" applyBorder="1" applyAlignment="1">
      <alignment horizontal="center" vertical="center"/>
    </xf>
    <xf numFmtId="49" fontId="0" fillId="0" borderId="2" xfId="0" applyNumberFormat="1" applyBorder="1" applyAlignment="1">
      <alignment horizontal="center" vertical="top"/>
    </xf>
    <xf numFmtId="49" fontId="0" fillId="0" borderId="14" xfId="0" applyNumberFormat="1" applyBorder="1" applyAlignment="1">
      <alignment horizontal="center" vertical="top"/>
    </xf>
    <xf numFmtId="49" fontId="0" fillId="0" borderId="2" xfId="0" applyNumberFormat="1" applyBorder="1" applyAlignment="1">
      <alignment vertical="top" wrapText="1"/>
    </xf>
    <xf numFmtId="0" fontId="11" fillId="7" borderId="0" xfId="1" applyFont="1" applyFill="1" applyAlignment="1">
      <alignment horizontal="center" vertical="center" wrapText="1"/>
    </xf>
    <xf numFmtId="0" fontId="11" fillId="7" borderId="1" xfId="1" applyFont="1" applyFill="1" applyBorder="1" applyAlignment="1">
      <alignment horizontal="center" vertical="center" wrapText="1"/>
    </xf>
    <xf numFmtId="0" fontId="12" fillId="0" borderId="11" xfId="2" applyBorder="1">
      <alignment horizontal="center" vertical="center" wrapText="1"/>
    </xf>
    <xf numFmtId="0" fontId="12" fillId="0" borderId="4" xfId="2" applyBorder="1">
      <alignment horizontal="center" vertical="center" wrapText="1"/>
    </xf>
    <xf numFmtId="0" fontId="12" fillId="0" borderId="12" xfId="2" applyBorder="1" applyAlignment="1">
      <alignment horizontal="center" vertical="center" wrapText="1"/>
    </xf>
    <xf numFmtId="0" fontId="12" fillId="0" borderId="2" xfId="2" applyBorder="1" applyAlignment="1">
      <alignment horizontal="center" vertical="center" wrapText="1"/>
    </xf>
    <xf numFmtId="0" fontId="12" fillId="0" borderId="12" xfId="2" applyBorder="1">
      <alignment horizontal="center" vertical="center" wrapText="1"/>
    </xf>
    <xf numFmtId="0" fontId="12" fillId="0" borderId="2" xfId="2" applyBorder="1">
      <alignment horizontal="center" vertical="center" wrapText="1"/>
    </xf>
    <xf numFmtId="49" fontId="7" fillId="0" borderId="4" xfId="0" applyNumberFormat="1" applyFont="1" applyBorder="1" applyAlignment="1">
      <alignment vertical="top"/>
    </xf>
    <xf numFmtId="49" fontId="7" fillId="0" borderId="2" xfId="0" applyNumberFormat="1" applyFont="1" applyBorder="1" applyAlignment="1">
      <alignment vertical="top"/>
    </xf>
    <xf numFmtId="0" fontId="19" fillId="0" borderId="11" xfId="2" applyFont="1" applyBorder="1">
      <alignment horizontal="center" vertical="center" wrapText="1"/>
    </xf>
    <xf numFmtId="0" fontId="19" fillId="0" borderId="4" xfId="2" applyFont="1" applyBorder="1">
      <alignment horizontal="center" vertical="center" wrapText="1"/>
    </xf>
    <xf numFmtId="0" fontId="20" fillId="0" borderId="12" xfId="2" applyFont="1" applyBorder="1">
      <alignment horizontal="center" vertical="center" wrapText="1"/>
    </xf>
    <xf numFmtId="0" fontId="20" fillId="0" borderId="2" xfId="2" applyFont="1" applyBorder="1">
      <alignment horizontal="center" vertical="center" wrapText="1"/>
    </xf>
    <xf numFmtId="0" fontId="5" fillId="2" borderId="6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 wrapText="1"/>
    </xf>
    <xf numFmtId="0" fontId="5" fillId="2" borderId="9" xfId="0" applyFont="1" applyFill="1" applyBorder="1" applyAlignment="1">
      <alignment horizontal="center" wrapText="1"/>
    </xf>
    <xf numFmtId="0" fontId="5" fillId="2" borderId="3" xfId="0" applyFont="1" applyFill="1" applyBorder="1" applyAlignment="1">
      <alignment horizontal="center" wrapText="1"/>
    </xf>
    <xf numFmtId="0" fontId="5" fillId="2" borderId="0" xfId="6" applyFont="1" applyFill="1" applyAlignment="1">
      <alignment horizontal="center" vertical="center" wrapText="1"/>
    </xf>
    <xf numFmtId="0" fontId="6" fillId="2" borderId="9" xfId="6" applyFont="1" applyFill="1" applyBorder="1" applyAlignment="1">
      <alignment horizontal="center" vertical="center" wrapText="1"/>
    </xf>
    <xf numFmtId="0" fontId="6" fillId="2" borderId="3" xfId="6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49" fontId="9" fillId="2" borderId="16" xfId="0" applyNumberFormat="1" applyFont="1" applyFill="1" applyBorder="1" applyAlignment="1">
      <alignment wrapText="1"/>
    </xf>
    <xf numFmtId="0" fontId="9" fillId="2" borderId="16" xfId="0" applyFont="1" applyFill="1" applyBorder="1" applyAlignment="1">
      <alignment wrapText="1"/>
    </xf>
  </cellXfs>
  <cellStyles count="9">
    <cellStyle name="Заголовок" xfId="1"/>
    <cellStyle name="ЗаголовокСтолбца" xfId="2"/>
    <cellStyle name="Значение" xfId="3"/>
    <cellStyle name="Обычный" xfId="0" builtinId="0"/>
    <cellStyle name="Обычный 10" xfId="7"/>
    <cellStyle name="Обычный_тарифы на 2002г с 1-01" xfId="6"/>
    <cellStyle name="Финансовый" xfId="8" builtinId="3"/>
    <cellStyle name="Формула" xfId="4"/>
    <cellStyle name="ФормулаВБ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J76"/>
  <sheetViews>
    <sheetView tabSelected="1" workbookViewId="0">
      <selection activeCell="B52" sqref="B52"/>
    </sheetView>
  </sheetViews>
  <sheetFormatPr defaultColWidth="8.77734375" defaultRowHeight="14.4" x14ac:dyDescent="0.3"/>
  <cols>
    <col min="1" max="1" width="6.88671875" style="1" customWidth="1"/>
    <col min="2" max="2" width="48.44140625" style="1" customWidth="1"/>
    <col min="3" max="3" width="12.33203125" style="1" customWidth="1"/>
    <col min="4" max="4" width="13.109375" style="1" customWidth="1"/>
    <col min="5" max="5" width="8.77734375" style="1"/>
    <col min="6" max="6" width="46" style="1" customWidth="1"/>
    <col min="7" max="7" width="7.33203125" style="1" customWidth="1"/>
    <col min="8" max="16384" width="8.77734375" style="1"/>
  </cols>
  <sheetData>
    <row r="1" spans="1:4" ht="39.6" customHeight="1" x14ac:dyDescent="0.3">
      <c r="A1" s="124" t="s">
        <v>339</v>
      </c>
      <c r="B1" s="124"/>
      <c r="C1" s="124"/>
      <c r="D1" s="124"/>
    </row>
    <row r="2" spans="1:4" x14ac:dyDescent="0.3">
      <c r="B2" s="119"/>
      <c r="D2" s="1" t="s">
        <v>97</v>
      </c>
    </row>
    <row r="3" spans="1:4" ht="43.2" x14ac:dyDescent="0.3">
      <c r="A3" s="19" t="s">
        <v>137</v>
      </c>
      <c r="B3" s="19" t="s">
        <v>86</v>
      </c>
      <c r="C3" s="20" t="s">
        <v>340</v>
      </c>
      <c r="D3" s="20" t="s">
        <v>341</v>
      </c>
    </row>
    <row r="4" spans="1:4" x14ac:dyDescent="0.3">
      <c r="A4" s="19">
        <v>1</v>
      </c>
      <c r="B4" s="18" t="s">
        <v>138</v>
      </c>
      <c r="C4" s="19"/>
      <c r="D4" s="19"/>
    </row>
    <row r="5" spans="1:4" x14ac:dyDescent="0.3">
      <c r="A5" s="72" t="s">
        <v>173</v>
      </c>
      <c r="B5" s="27" t="s">
        <v>174</v>
      </c>
      <c r="C5" s="67">
        <f>C6++C9</f>
        <v>8347.9</v>
      </c>
      <c r="D5" s="67">
        <f>D6++D9</f>
        <v>8347.9</v>
      </c>
    </row>
    <row r="6" spans="1:4" x14ac:dyDescent="0.3">
      <c r="A6" s="68" t="s">
        <v>175</v>
      </c>
      <c r="B6" s="20" t="s">
        <v>153</v>
      </c>
      <c r="C6" s="63">
        <f>C7+C8</f>
        <v>5990.45</v>
      </c>
      <c r="D6" s="63">
        <f>D7+D8</f>
        <v>5990.45</v>
      </c>
    </row>
    <row r="7" spans="1:4" x14ac:dyDescent="0.3">
      <c r="A7" s="68" t="s">
        <v>176</v>
      </c>
      <c r="B7" s="20" t="s">
        <v>150</v>
      </c>
      <c r="C7" s="19">
        <v>2560.58</v>
      </c>
      <c r="D7" s="19">
        <v>2560.58</v>
      </c>
    </row>
    <row r="8" spans="1:4" x14ac:dyDescent="0.3">
      <c r="A8" s="68" t="s">
        <v>177</v>
      </c>
      <c r="B8" s="20" t="s">
        <v>178</v>
      </c>
      <c r="C8" s="19">
        <v>3429.87</v>
      </c>
      <c r="D8" s="19">
        <v>3429.87</v>
      </c>
    </row>
    <row r="9" spans="1:4" ht="36" x14ac:dyDescent="0.3">
      <c r="A9" s="68" t="s">
        <v>180</v>
      </c>
      <c r="B9" s="20" t="s">
        <v>179</v>
      </c>
      <c r="C9" s="19">
        <v>2357.4499999999998</v>
      </c>
      <c r="D9" s="19">
        <v>2357.4499999999998</v>
      </c>
    </row>
    <row r="10" spans="1:4" x14ac:dyDescent="0.3">
      <c r="A10" s="71" t="s">
        <v>181</v>
      </c>
      <c r="B10" s="27" t="s">
        <v>139</v>
      </c>
      <c r="C10" s="67">
        <v>61839.55</v>
      </c>
      <c r="D10" s="67">
        <v>61839.55</v>
      </c>
    </row>
    <row r="11" spans="1:4" x14ac:dyDescent="0.3">
      <c r="A11" s="71" t="s">
        <v>182</v>
      </c>
      <c r="B11" s="27" t="s">
        <v>140</v>
      </c>
      <c r="C11" s="67">
        <f>C12+C13</f>
        <v>9849.2000000000007</v>
      </c>
      <c r="D11" s="67">
        <f>D12+D13</f>
        <v>9849.2000000000007</v>
      </c>
    </row>
    <row r="12" spans="1:4" x14ac:dyDescent="0.3">
      <c r="A12" s="73" t="s">
        <v>183</v>
      </c>
      <c r="B12" s="20" t="s">
        <v>184</v>
      </c>
      <c r="C12" s="63">
        <v>7066.97</v>
      </c>
      <c r="D12" s="63">
        <v>7066.97</v>
      </c>
    </row>
    <row r="13" spans="1:4" x14ac:dyDescent="0.3">
      <c r="A13" s="73" t="s">
        <v>185</v>
      </c>
      <c r="B13" s="20" t="s">
        <v>186</v>
      </c>
      <c r="C13" s="63">
        <f>C14+C15+C16+C17+C18+C24+C25+C26+C29</f>
        <v>2782.2299999999996</v>
      </c>
      <c r="D13" s="63">
        <f>D14+D15+D16+D17+D18+D24+D25+D26+D29</f>
        <v>2782.2299999999996</v>
      </c>
    </row>
    <row r="14" spans="1:4" x14ac:dyDescent="0.3">
      <c r="A14" s="68" t="s">
        <v>187</v>
      </c>
      <c r="B14" s="19" t="s">
        <v>91</v>
      </c>
      <c r="C14" s="63">
        <v>601.5</v>
      </c>
      <c r="D14" s="63">
        <v>601.5</v>
      </c>
    </row>
    <row r="15" spans="1:4" x14ac:dyDescent="0.3">
      <c r="A15" s="69" t="s">
        <v>201</v>
      </c>
      <c r="B15" s="20" t="s">
        <v>188</v>
      </c>
      <c r="C15" s="63">
        <v>217.54</v>
      </c>
      <c r="D15" s="63">
        <v>217.54</v>
      </c>
    </row>
    <row r="16" spans="1:4" x14ac:dyDescent="0.3">
      <c r="A16" s="69" t="s">
        <v>202</v>
      </c>
      <c r="B16" s="20" t="s">
        <v>189</v>
      </c>
      <c r="C16" s="19">
        <v>113.46</v>
      </c>
      <c r="D16" s="19">
        <v>113.46</v>
      </c>
    </row>
    <row r="17" spans="1:4" x14ac:dyDescent="0.3">
      <c r="A17" s="69" t="s">
        <v>203</v>
      </c>
      <c r="B17" s="20" t="s">
        <v>190</v>
      </c>
      <c r="C17" s="63">
        <v>0</v>
      </c>
      <c r="D17" s="63">
        <v>0</v>
      </c>
    </row>
    <row r="18" spans="1:4" x14ac:dyDescent="0.3">
      <c r="A18" s="69" t="s">
        <v>204</v>
      </c>
      <c r="B18" s="20" t="s">
        <v>168</v>
      </c>
      <c r="C18" s="19">
        <v>553.35</v>
      </c>
      <c r="D18" s="19">
        <v>553.35</v>
      </c>
    </row>
    <row r="19" spans="1:4" x14ac:dyDescent="0.3">
      <c r="A19" s="69" t="s">
        <v>205</v>
      </c>
      <c r="B19" s="20" t="s">
        <v>191</v>
      </c>
      <c r="C19" s="19">
        <v>0</v>
      </c>
      <c r="D19" s="19">
        <v>0</v>
      </c>
    </row>
    <row r="20" spans="1:4" x14ac:dyDescent="0.3">
      <c r="A20" s="69" t="s">
        <v>206</v>
      </c>
      <c r="B20" s="20" t="s">
        <v>192</v>
      </c>
      <c r="C20" s="19">
        <v>0</v>
      </c>
      <c r="D20" s="19">
        <v>0</v>
      </c>
    </row>
    <row r="21" spans="1:4" x14ac:dyDescent="0.3">
      <c r="A21" s="69" t="s">
        <v>207</v>
      </c>
      <c r="B21" s="20" t="s">
        <v>193</v>
      </c>
      <c r="C21" s="19">
        <v>0</v>
      </c>
      <c r="D21" s="19">
        <v>0</v>
      </c>
    </row>
    <row r="22" spans="1:4" x14ac:dyDescent="0.3">
      <c r="A22" s="69" t="s">
        <v>208</v>
      </c>
      <c r="B22" s="20" t="s">
        <v>194</v>
      </c>
      <c r="C22" s="19">
        <v>0</v>
      </c>
      <c r="D22" s="19">
        <v>0</v>
      </c>
    </row>
    <row r="23" spans="1:4" ht="24.6" x14ac:dyDescent="0.3">
      <c r="A23" s="69" t="s">
        <v>209</v>
      </c>
      <c r="B23" s="45" t="s">
        <v>196</v>
      </c>
      <c r="C23" s="19">
        <v>0</v>
      </c>
      <c r="D23" s="19">
        <v>0</v>
      </c>
    </row>
    <row r="24" spans="1:4" ht="28.8" x14ac:dyDescent="0.3">
      <c r="A24" s="69" t="s">
        <v>210</v>
      </c>
      <c r="B24" s="20" t="s">
        <v>195</v>
      </c>
      <c r="C24" s="19">
        <v>255.43</v>
      </c>
      <c r="D24" s="19">
        <v>255.43</v>
      </c>
    </row>
    <row r="25" spans="1:4" x14ac:dyDescent="0.3">
      <c r="A25" s="69" t="s">
        <v>211</v>
      </c>
      <c r="B25" s="64" t="s">
        <v>197</v>
      </c>
      <c r="C25" s="19">
        <v>128.34</v>
      </c>
      <c r="D25" s="19">
        <v>128.34</v>
      </c>
    </row>
    <row r="26" spans="1:4" x14ac:dyDescent="0.3">
      <c r="A26" s="69" t="s">
        <v>212</v>
      </c>
      <c r="B26" s="64" t="s">
        <v>198</v>
      </c>
      <c r="C26" s="19">
        <v>49.55</v>
      </c>
      <c r="D26" s="19">
        <v>49.55</v>
      </c>
    </row>
    <row r="27" spans="1:4" x14ac:dyDescent="0.3">
      <c r="A27" s="69" t="s">
        <v>213</v>
      </c>
      <c r="B27" s="20" t="s">
        <v>199</v>
      </c>
      <c r="C27" s="19">
        <v>0</v>
      </c>
      <c r="D27" s="19">
        <v>0</v>
      </c>
    </row>
    <row r="28" spans="1:4" x14ac:dyDescent="0.3">
      <c r="A28" s="69" t="s">
        <v>214</v>
      </c>
      <c r="B28" s="20" t="s">
        <v>200</v>
      </c>
      <c r="C28" s="19">
        <v>0</v>
      </c>
      <c r="D28" s="19">
        <v>0</v>
      </c>
    </row>
    <row r="29" spans="1:4" x14ac:dyDescent="0.3">
      <c r="A29" s="69" t="s">
        <v>215</v>
      </c>
      <c r="B29" s="20" t="s">
        <v>141</v>
      </c>
      <c r="C29" s="85">
        <v>863.06</v>
      </c>
      <c r="D29" s="85">
        <v>863.06</v>
      </c>
    </row>
    <row r="30" spans="1:4" x14ac:dyDescent="0.3">
      <c r="A30" s="74" t="s">
        <v>148</v>
      </c>
      <c r="B30" s="117" t="s">
        <v>216</v>
      </c>
      <c r="C30" s="67">
        <f>C31</f>
        <v>1563.9</v>
      </c>
      <c r="D30" s="67">
        <f>D31</f>
        <v>1563.9</v>
      </c>
    </row>
    <row r="31" spans="1:4" x14ac:dyDescent="0.3">
      <c r="A31" s="69" t="s">
        <v>221</v>
      </c>
      <c r="B31" s="20" t="s">
        <v>217</v>
      </c>
      <c r="C31" s="63">
        <v>1563.9</v>
      </c>
      <c r="D31" s="63">
        <v>1563.9</v>
      </c>
    </row>
    <row r="32" spans="1:4" x14ac:dyDescent="0.3">
      <c r="A32" s="69" t="s">
        <v>222</v>
      </c>
      <c r="B32" s="20" t="s">
        <v>218</v>
      </c>
      <c r="C32" s="63">
        <v>0</v>
      </c>
      <c r="D32" s="63">
        <v>0</v>
      </c>
    </row>
    <row r="33" spans="1:10" ht="24.6" customHeight="1" x14ac:dyDescent="0.3">
      <c r="A33" s="69" t="s">
        <v>223</v>
      </c>
      <c r="B33" s="20" t="s">
        <v>219</v>
      </c>
      <c r="C33" s="63">
        <v>0</v>
      </c>
      <c r="D33" s="63">
        <v>0</v>
      </c>
    </row>
    <row r="34" spans="1:10" ht="16.2" customHeight="1" x14ac:dyDescent="0.3">
      <c r="A34" s="69" t="s">
        <v>224</v>
      </c>
      <c r="B34" s="20" t="s">
        <v>220</v>
      </c>
      <c r="C34" s="63">
        <v>0</v>
      </c>
      <c r="D34" s="63">
        <v>0</v>
      </c>
    </row>
    <row r="35" spans="1:10" ht="30.6" customHeight="1" x14ac:dyDescent="0.3">
      <c r="A35" s="75" t="s">
        <v>225</v>
      </c>
      <c r="B35" s="117" t="s">
        <v>226</v>
      </c>
      <c r="C35" s="67">
        <f>C37</f>
        <v>264.93</v>
      </c>
      <c r="D35" s="67">
        <f>D37</f>
        <v>264.93</v>
      </c>
    </row>
    <row r="36" spans="1:10" x14ac:dyDescent="0.3">
      <c r="A36" s="69" t="s">
        <v>230</v>
      </c>
      <c r="B36" s="20" t="s">
        <v>227</v>
      </c>
      <c r="C36" s="63">
        <v>0</v>
      </c>
      <c r="D36" s="63">
        <v>0</v>
      </c>
    </row>
    <row r="37" spans="1:10" ht="22.8" customHeight="1" x14ac:dyDescent="0.3">
      <c r="A37" s="69" t="s">
        <v>231</v>
      </c>
      <c r="B37" s="45" t="s">
        <v>228</v>
      </c>
      <c r="C37" s="63">
        <v>264.93</v>
      </c>
      <c r="D37" s="63">
        <v>264.93</v>
      </c>
    </row>
    <row r="38" spans="1:10" ht="16.05" customHeight="1" x14ac:dyDescent="0.3">
      <c r="A38" s="69" t="s">
        <v>232</v>
      </c>
      <c r="B38" s="20" t="s">
        <v>229</v>
      </c>
      <c r="C38" s="63">
        <v>0</v>
      </c>
      <c r="D38" s="63">
        <v>0</v>
      </c>
    </row>
    <row r="39" spans="1:10" x14ac:dyDescent="0.3">
      <c r="A39" s="69" t="s">
        <v>233</v>
      </c>
      <c r="B39" s="20" t="s">
        <v>299</v>
      </c>
      <c r="C39" s="63">
        <v>0</v>
      </c>
      <c r="D39" s="63">
        <v>0</v>
      </c>
      <c r="E39" s="26"/>
      <c r="F39" s="26"/>
      <c r="G39" s="26"/>
      <c r="H39" s="26"/>
      <c r="I39" s="26"/>
      <c r="J39" s="26"/>
    </row>
    <row r="40" spans="1:10" x14ac:dyDescent="0.3">
      <c r="A40" s="69"/>
      <c r="B40" s="25" t="s">
        <v>142</v>
      </c>
      <c r="C40" s="67">
        <f>C5+C10+C11+C30+C35</f>
        <v>81865.479999999981</v>
      </c>
      <c r="D40" s="67">
        <f>D5+D10+D11+D30+D35+0.01</f>
        <v>81865.489999999976</v>
      </c>
      <c r="E40" s="26"/>
      <c r="F40" s="26"/>
      <c r="G40" s="26"/>
      <c r="H40" s="26"/>
      <c r="I40" s="26"/>
      <c r="J40" s="26"/>
    </row>
    <row r="41" spans="1:10" x14ac:dyDescent="0.3">
      <c r="A41" s="70"/>
      <c r="B41" s="65"/>
      <c r="C41" s="66"/>
      <c r="E41" s="26"/>
      <c r="F41" s="26"/>
      <c r="G41" s="26"/>
      <c r="H41" s="26"/>
      <c r="I41" s="26"/>
      <c r="J41" s="26"/>
    </row>
    <row r="42" spans="1:10" x14ac:dyDescent="0.3">
      <c r="A42" s="70"/>
      <c r="B42" s="65"/>
      <c r="C42" s="66"/>
    </row>
    <row r="43" spans="1:10" ht="43.8" customHeight="1" x14ac:dyDescent="0.3">
      <c r="A43" s="69"/>
      <c r="B43" s="76" t="s">
        <v>143</v>
      </c>
      <c r="C43" s="20" t="s">
        <v>340</v>
      </c>
      <c r="D43" s="20" t="s">
        <v>341</v>
      </c>
    </row>
    <row r="44" spans="1:10" x14ac:dyDescent="0.3">
      <c r="A44" s="19" t="s">
        <v>137</v>
      </c>
      <c r="B44" s="19" t="s">
        <v>86</v>
      </c>
      <c r="C44" s="19"/>
      <c r="D44" s="19"/>
    </row>
    <row r="45" spans="1:10" x14ac:dyDescent="0.3">
      <c r="A45" s="69" t="s">
        <v>234</v>
      </c>
      <c r="B45" s="77" t="s">
        <v>351</v>
      </c>
      <c r="C45" s="19">
        <v>12475.33</v>
      </c>
      <c r="D45" s="19">
        <v>13752.35</v>
      </c>
      <c r="E45" s="1" t="s">
        <v>345</v>
      </c>
    </row>
    <row r="46" spans="1:10" x14ac:dyDescent="0.3">
      <c r="A46" s="69" t="s">
        <v>235</v>
      </c>
      <c r="B46" s="20" t="s">
        <v>236</v>
      </c>
      <c r="C46" s="19">
        <v>69.489999999999995</v>
      </c>
      <c r="D46" s="19">
        <v>75.88</v>
      </c>
      <c r="E46" s="1" t="s">
        <v>346</v>
      </c>
    </row>
    <row r="47" spans="1:10" s="26" customFormat="1" x14ac:dyDescent="0.3">
      <c r="A47" s="69" t="s">
        <v>239</v>
      </c>
      <c r="B47" s="20" t="s">
        <v>237</v>
      </c>
      <c r="C47" s="19">
        <v>509.66</v>
      </c>
      <c r="D47" s="19">
        <v>509.66</v>
      </c>
      <c r="E47" s="1"/>
      <c r="F47" s="1"/>
      <c r="G47" s="1"/>
      <c r="H47" s="1"/>
      <c r="I47" s="1"/>
      <c r="J47" s="1"/>
    </row>
    <row r="48" spans="1:10" s="26" customFormat="1" x14ac:dyDescent="0.3">
      <c r="A48" s="69" t="s">
        <v>240</v>
      </c>
      <c r="B48" s="20" t="s">
        <v>238</v>
      </c>
      <c r="C48" s="19">
        <v>1374.42</v>
      </c>
      <c r="D48" s="19">
        <v>1374.42</v>
      </c>
      <c r="E48" s="1"/>
      <c r="F48" s="1"/>
      <c r="G48" s="1"/>
      <c r="H48" s="1"/>
      <c r="I48" s="1"/>
      <c r="J48" s="1"/>
    </row>
    <row r="49" spans="1:10" s="26" customFormat="1" x14ac:dyDescent="0.3">
      <c r="A49" s="69" t="s">
        <v>241</v>
      </c>
      <c r="B49" s="20" t="s">
        <v>242</v>
      </c>
      <c r="C49" s="27">
        <f>C51+C52+C53</f>
        <v>2365.1600000000003</v>
      </c>
      <c r="D49" s="27">
        <f>D51+D52+D53</f>
        <v>2497.83</v>
      </c>
      <c r="E49" s="1"/>
      <c r="F49" s="1"/>
      <c r="G49" s="1"/>
      <c r="H49" s="1"/>
      <c r="I49" s="1"/>
      <c r="J49" s="1"/>
    </row>
    <row r="50" spans="1:10" s="26" customFormat="1" x14ac:dyDescent="0.3">
      <c r="A50" s="69" t="s">
        <v>245</v>
      </c>
      <c r="B50" s="20" t="s">
        <v>243</v>
      </c>
      <c r="C50" s="19">
        <v>0</v>
      </c>
      <c r="D50" s="19">
        <v>0</v>
      </c>
      <c r="E50" s="1"/>
      <c r="F50" s="1"/>
      <c r="G50" s="1"/>
      <c r="H50" s="1"/>
      <c r="I50" s="1"/>
      <c r="J50" s="1"/>
    </row>
    <row r="51" spans="1:10" s="26" customFormat="1" x14ac:dyDescent="0.3">
      <c r="A51" s="69" t="s">
        <v>246</v>
      </c>
      <c r="B51" s="20" t="s">
        <v>166</v>
      </c>
      <c r="C51" s="19">
        <v>29.09</v>
      </c>
      <c r="D51" s="19">
        <v>29.09</v>
      </c>
      <c r="E51" s="1"/>
      <c r="F51" s="1"/>
      <c r="G51" s="1"/>
      <c r="H51" s="1"/>
      <c r="I51" s="1"/>
      <c r="J51" s="1"/>
    </row>
    <row r="52" spans="1:10" x14ac:dyDescent="0.3">
      <c r="A52" s="69" t="s">
        <v>247</v>
      </c>
      <c r="B52" s="20" t="s">
        <v>244</v>
      </c>
      <c r="C52" s="19">
        <v>6.94</v>
      </c>
      <c r="D52" s="19">
        <v>139.61000000000001</v>
      </c>
    </row>
    <row r="53" spans="1:10" x14ac:dyDescent="0.3">
      <c r="A53" s="69" t="s">
        <v>248</v>
      </c>
      <c r="B53" s="20" t="s">
        <v>167</v>
      </c>
      <c r="C53" s="19">
        <v>2329.13</v>
      </c>
      <c r="D53" s="19">
        <v>2329.13</v>
      </c>
    </row>
    <row r="54" spans="1:10" x14ac:dyDescent="0.3">
      <c r="A54" s="69" t="s">
        <v>249</v>
      </c>
      <c r="B54" s="20" t="s">
        <v>250</v>
      </c>
      <c r="C54" s="63">
        <v>18734</v>
      </c>
      <c r="D54" s="63">
        <v>18734</v>
      </c>
    </row>
    <row r="55" spans="1:10" x14ac:dyDescent="0.3">
      <c r="A55" s="69" t="s">
        <v>251</v>
      </c>
      <c r="B55" s="20" t="s">
        <v>144</v>
      </c>
      <c r="C55" s="19">
        <v>0</v>
      </c>
      <c r="D55" s="19">
        <v>0</v>
      </c>
    </row>
    <row r="56" spans="1:10" x14ac:dyDescent="0.3">
      <c r="A56" s="69" t="s">
        <v>258</v>
      </c>
      <c r="B56" s="20" t="s">
        <v>252</v>
      </c>
      <c r="C56" s="19">
        <v>1180.92</v>
      </c>
      <c r="D56" s="19">
        <v>1180.92</v>
      </c>
    </row>
    <row r="57" spans="1:10" ht="28.8" x14ac:dyDescent="0.3">
      <c r="A57" s="69" t="s">
        <v>259</v>
      </c>
      <c r="B57" s="20" t="s">
        <v>270</v>
      </c>
      <c r="C57" s="19">
        <v>0</v>
      </c>
      <c r="D57" s="120">
        <v>1265.9100000000001</v>
      </c>
    </row>
    <row r="58" spans="1:10" x14ac:dyDescent="0.3">
      <c r="A58" s="69" t="s">
        <v>260</v>
      </c>
      <c r="B58" s="20" t="s">
        <v>253</v>
      </c>
      <c r="C58" s="63">
        <v>698</v>
      </c>
      <c r="D58" s="19">
        <v>698</v>
      </c>
    </row>
    <row r="59" spans="1:10" x14ac:dyDescent="0.3">
      <c r="A59" s="69" t="s">
        <v>261</v>
      </c>
      <c r="B59" s="20" t="s">
        <v>254</v>
      </c>
      <c r="C59" s="63"/>
      <c r="D59" s="19"/>
    </row>
    <row r="60" spans="1:10" x14ac:dyDescent="0.3">
      <c r="A60" s="69" t="s">
        <v>262</v>
      </c>
      <c r="B60" s="20" t="s">
        <v>255</v>
      </c>
      <c r="C60" s="63">
        <v>698</v>
      </c>
      <c r="D60" s="19">
        <v>698</v>
      </c>
    </row>
    <row r="61" spans="1:10" x14ac:dyDescent="0.3">
      <c r="A61" s="69" t="s">
        <v>263</v>
      </c>
      <c r="B61" s="20" t="s">
        <v>256</v>
      </c>
      <c r="C61" s="19"/>
      <c r="D61" s="19"/>
    </row>
    <row r="62" spans="1:10" ht="28.8" x14ac:dyDescent="0.3">
      <c r="A62" s="113" t="s">
        <v>264</v>
      </c>
      <c r="B62" s="20" t="s">
        <v>343</v>
      </c>
      <c r="C62" s="19"/>
      <c r="D62" s="120">
        <v>3027.83</v>
      </c>
    </row>
    <row r="63" spans="1:10" x14ac:dyDescent="0.3">
      <c r="A63" s="69"/>
      <c r="B63" s="25" t="s">
        <v>328</v>
      </c>
      <c r="C63" s="27">
        <f>C45+C46+C47+C48+C49+C54+C56+C57+C58+C61+C62</f>
        <v>37406.979999999996</v>
      </c>
      <c r="D63" s="67">
        <f>D45+D46+D47+D48+D49+D54+D56+D57+D58+D61+D62</f>
        <v>43116.800000000003</v>
      </c>
      <c r="E63" s="26"/>
      <c r="F63" s="26"/>
      <c r="G63" s="26"/>
      <c r="H63" s="26"/>
      <c r="I63" s="26"/>
      <c r="J63" s="26"/>
    </row>
    <row r="64" spans="1:10" x14ac:dyDescent="0.3">
      <c r="A64" s="69"/>
      <c r="B64" s="25"/>
      <c r="C64" s="27"/>
      <c r="D64" s="19"/>
      <c r="E64" s="26"/>
      <c r="F64" s="26"/>
      <c r="G64" s="26"/>
      <c r="H64" s="26"/>
      <c r="I64" s="26"/>
      <c r="J64" s="26"/>
    </row>
    <row r="65" spans="1:10" x14ac:dyDescent="0.3">
      <c r="A65" s="125" t="s">
        <v>265</v>
      </c>
      <c r="B65" s="126"/>
      <c r="C65" s="126"/>
      <c r="D65" s="19"/>
    </row>
    <row r="66" spans="1:10" x14ac:dyDescent="0.3">
      <c r="A66" s="69" t="s">
        <v>266</v>
      </c>
      <c r="B66" s="20" t="s">
        <v>344</v>
      </c>
      <c r="C66" s="19"/>
      <c r="D66" s="120">
        <v>10497.82</v>
      </c>
    </row>
    <row r="67" spans="1:10" ht="28.8" x14ac:dyDescent="0.3">
      <c r="A67" s="69" t="s">
        <v>267</v>
      </c>
      <c r="B67" s="20" t="s">
        <v>301</v>
      </c>
      <c r="C67" s="19"/>
      <c r="D67" s="19"/>
    </row>
    <row r="68" spans="1:10" ht="15.6" x14ac:dyDescent="0.3">
      <c r="A68" s="69" t="s">
        <v>302</v>
      </c>
      <c r="B68" s="78" t="s">
        <v>268</v>
      </c>
      <c r="C68" s="67">
        <f>C40+C63+C66</f>
        <v>119272.45999999998</v>
      </c>
      <c r="D68" s="67">
        <f>D40+D63+D66</f>
        <v>135480.10999999999</v>
      </c>
    </row>
    <row r="70" spans="1:10" ht="12" customHeight="1" x14ac:dyDescent="0.3"/>
    <row r="71" spans="1:10" ht="15" customHeight="1" x14ac:dyDescent="0.35">
      <c r="A71" s="100" t="s">
        <v>349</v>
      </c>
      <c r="B71" s="122"/>
      <c r="C71" s="123" t="s">
        <v>350</v>
      </c>
    </row>
    <row r="75" spans="1:10" s="26" customFormat="1" x14ac:dyDescent="0.3">
      <c r="A75" s="1"/>
      <c r="B75" s="1"/>
      <c r="C75" s="1"/>
      <c r="E75" s="1"/>
      <c r="F75" s="1"/>
      <c r="G75" s="1"/>
      <c r="H75" s="1"/>
      <c r="I75" s="1"/>
      <c r="J75" s="1"/>
    </row>
    <row r="76" spans="1:10" s="26" customFormat="1" ht="27.45" customHeight="1" x14ac:dyDescent="0.3">
      <c r="A76" s="1"/>
      <c r="B76" s="1"/>
      <c r="C76" s="1"/>
      <c r="E76" s="1"/>
      <c r="F76" s="1"/>
      <c r="G76" s="1"/>
      <c r="H76" s="1"/>
      <c r="I76" s="1"/>
      <c r="J76" s="1"/>
    </row>
  </sheetData>
  <mergeCells count="2">
    <mergeCell ref="A1:D1"/>
    <mergeCell ref="A65:C65"/>
  </mergeCells>
  <pageMargins left="0.70866141732283472" right="0.70866141732283472" top="0.74803149606299213" bottom="0.74803149606299213" header="0.31496062992125984" footer="0.31496062992125984"/>
  <pageSetup paperSize="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I67"/>
  <sheetViews>
    <sheetView workbookViewId="0">
      <selection activeCell="C5" sqref="C5:C6"/>
    </sheetView>
  </sheetViews>
  <sheetFormatPr defaultRowHeight="14.4" x14ac:dyDescent="0.3"/>
  <cols>
    <col min="1" max="1" width="7" customWidth="1"/>
    <col min="2" max="2" width="25.44140625" customWidth="1"/>
    <col min="3" max="3" width="10.44140625" customWidth="1"/>
    <col min="4" max="4" width="10.5546875" customWidth="1"/>
    <col min="5" max="5" width="11.77734375" customWidth="1"/>
    <col min="6" max="6" width="10.77734375" customWidth="1"/>
    <col min="7" max="7" width="10.21875" customWidth="1"/>
  </cols>
  <sheetData>
    <row r="1" spans="1:7" x14ac:dyDescent="0.3">
      <c r="A1" s="80"/>
      <c r="B1" s="81" t="s">
        <v>88</v>
      </c>
      <c r="C1" s="81" t="s">
        <v>338</v>
      </c>
      <c r="D1" s="80"/>
      <c r="E1" s="80"/>
      <c r="F1" s="127" t="s">
        <v>83</v>
      </c>
      <c r="G1" s="127"/>
    </row>
    <row r="2" spans="1:7" x14ac:dyDescent="0.3">
      <c r="A2" s="138" t="s">
        <v>82</v>
      </c>
      <c r="B2" s="138"/>
      <c r="C2" s="138"/>
      <c r="D2" s="138"/>
      <c r="E2" s="138"/>
      <c r="F2" s="138"/>
      <c r="G2" s="138"/>
    </row>
    <row r="3" spans="1:7" x14ac:dyDescent="0.3">
      <c r="A3" s="138"/>
      <c r="B3" s="138"/>
      <c r="C3" s="138"/>
      <c r="D3" s="138"/>
      <c r="E3" s="138"/>
      <c r="F3" s="138"/>
      <c r="G3" s="138"/>
    </row>
    <row r="4" spans="1:7" ht="39" customHeight="1" thickBot="1" x14ac:dyDescent="0.35">
      <c r="A4" s="139"/>
      <c r="B4" s="139"/>
      <c r="C4" s="139"/>
      <c r="D4" s="139"/>
      <c r="E4" s="139"/>
      <c r="F4" s="139"/>
      <c r="G4" s="139"/>
    </row>
    <row r="5" spans="1:7" ht="57" x14ac:dyDescent="0.3">
      <c r="A5" s="140" t="s">
        <v>8</v>
      </c>
      <c r="B5" s="142" t="s">
        <v>9</v>
      </c>
      <c r="C5" s="142" t="s">
        <v>5</v>
      </c>
      <c r="D5" s="144" t="s">
        <v>10</v>
      </c>
      <c r="E5" s="90" t="s">
        <v>11</v>
      </c>
      <c r="F5" s="90" t="s">
        <v>12</v>
      </c>
      <c r="G5" s="4" t="s">
        <v>13</v>
      </c>
    </row>
    <row r="6" spans="1:7" x14ac:dyDescent="0.3">
      <c r="A6" s="141"/>
      <c r="B6" s="143"/>
      <c r="C6" s="143"/>
      <c r="D6" s="145"/>
      <c r="E6" s="91" t="s">
        <v>14</v>
      </c>
      <c r="F6" s="91" t="s">
        <v>15</v>
      </c>
      <c r="G6" s="5" t="s">
        <v>16</v>
      </c>
    </row>
    <row r="7" spans="1:7" x14ac:dyDescent="0.3">
      <c r="A7" s="88"/>
      <c r="B7" s="89"/>
      <c r="C7" s="89"/>
      <c r="D7" s="91"/>
      <c r="E7" s="6" t="s">
        <v>17</v>
      </c>
      <c r="F7" s="6" t="s">
        <v>18</v>
      </c>
      <c r="G7" s="7" t="s">
        <v>19</v>
      </c>
    </row>
    <row r="8" spans="1:7" x14ac:dyDescent="0.3">
      <c r="A8" s="88">
        <v>1</v>
      </c>
      <c r="B8" s="89">
        <f>+A8+1</f>
        <v>2</v>
      </c>
      <c r="C8" s="89">
        <f>+B8+1</f>
        <v>3</v>
      </c>
      <c r="D8" s="91">
        <f>+C8+1</f>
        <v>4</v>
      </c>
      <c r="E8" s="91">
        <f>+D8+1</f>
        <v>5</v>
      </c>
      <c r="F8" s="91">
        <f>+E8+1</f>
        <v>6</v>
      </c>
      <c r="G8" s="5" t="s">
        <v>20</v>
      </c>
    </row>
    <row r="9" spans="1:7" x14ac:dyDescent="0.3">
      <c r="A9" s="131">
        <v>1</v>
      </c>
      <c r="B9" s="137" t="s">
        <v>21</v>
      </c>
      <c r="C9" s="137" t="s">
        <v>22</v>
      </c>
      <c r="D9" s="8">
        <v>1150</v>
      </c>
      <c r="E9" s="9"/>
      <c r="F9" s="9"/>
      <c r="G9" s="10">
        <f>E9*F9</f>
        <v>0</v>
      </c>
    </row>
    <row r="10" spans="1:7" x14ac:dyDescent="0.3">
      <c r="A10" s="131"/>
      <c r="B10" s="137"/>
      <c r="C10" s="137"/>
      <c r="D10" s="8">
        <v>750</v>
      </c>
      <c r="E10" s="9"/>
      <c r="F10" s="9"/>
      <c r="G10" s="10">
        <f>E10*F10</f>
        <v>0</v>
      </c>
    </row>
    <row r="11" spans="1:7" x14ac:dyDescent="0.3">
      <c r="A11" s="131"/>
      <c r="B11" s="137"/>
      <c r="C11" s="137"/>
      <c r="D11" s="8" t="s">
        <v>23</v>
      </c>
      <c r="E11" s="9"/>
      <c r="F11" s="9"/>
      <c r="G11" s="10">
        <f>E11*F11</f>
        <v>0</v>
      </c>
    </row>
    <row r="12" spans="1:7" x14ac:dyDescent="0.3">
      <c r="A12" s="131"/>
      <c r="B12" s="137"/>
      <c r="C12" s="137"/>
      <c r="D12" s="8">
        <v>330</v>
      </c>
      <c r="E12" s="9"/>
      <c r="F12" s="9"/>
      <c r="G12" s="10">
        <f>E12*F12</f>
        <v>0</v>
      </c>
    </row>
    <row r="13" spans="1:7" x14ac:dyDescent="0.3">
      <c r="A13" s="131"/>
      <c r="B13" s="137"/>
      <c r="C13" s="137"/>
      <c r="D13" s="8">
        <v>220</v>
      </c>
      <c r="E13" s="9"/>
      <c r="F13" s="9"/>
      <c r="G13" s="10">
        <f t="shared" ref="G13:G50" si="0">E13*F13</f>
        <v>0</v>
      </c>
    </row>
    <row r="14" spans="1:7" x14ac:dyDescent="0.3">
      <c r="A14" s="131"/>
      <c r="B14" s="137"/>
      <c r="C14" s="137"/>
      <c r="D14" s="8" t="s">
        <v>24</v>
      </c>
      <c r="E14" s="9"/>
      <c r="F14" s="9"/>
      <c r="G14" s="10">
        <f t="shared" si="0"/>
        <v>0</v>
      </c>
    </row>
    <row r="15" spans="1:7" x14ac:dyDescent="0.3">
      <c r="A15" s="131"/>
      <c r="B15" s="137"/>
      <c r="C15" s="137"/>
      <c r="D15" s="8">
        <v>35</v>
      </c>
      <c r="E15" s="9">
        <v>75</v>
      </c>
      <c r="F15" s="9">
        <v>1</v>
      </c>
      <c r="G15" s="10">
        <f t="shared" si="0"/>
        <v>75</v>
      </c>
    </row>
    <row r="16" spans="1:7" x14ac:dyDescent="0.3">
      <c r="A16" s="131">
        <v>2</v>
      </c>
      <c r="B16" s="137" t="s">
        <v>25</v>
      </c>
      <c r="C16" s="137" t="s">
        <v>26</v>
      </c>
      <c r="D16" s="8">
        <v>1150</v>
      </c>
      <c r="E16" s="9"/>
      <c r="F16" s="9"/>
      <c r="G16" s="10">
        <f t="shared" si="0"/>
        <v>0</v>
      </c>
    </row>
    <row r="17" spans="1:7" x14ac:dyDescent="0.3">
      <c r="A17" s="131"/>
      <c r="B17" s="137"/>
      <c r="C17" s="137"/>
      <c r="D17" s="8">
        <v>750</v>
      </c>
      <c r="E17" s="9"/>
      <c r="F17" s="9"/>
      <c r="G17" s="10">
        <f t="shared" si="0"/>
        <v>0</v>
      </c>
    </row>
    <row r="18" spans="1:7" x14ac:dyDescent="0.3">
      <c r="A18" s="131"/>
      <c r="B18" s="137"/>
      <c r="C18" s="137"/>
      <c r="D18" s="8" t="s">
        <v>23</v>
      </c>
      <c r="E18" s="9"/>
      <c r="F18" s="9"/>
      <c r="G18" s="10">
        <f t="shared" si="0"/>
        <v>0</v>
      </c>
    </row>
    <row r="19" spans="1:7" x14ac:dyDescent="0.3">
      <c r="A19" s="131"/>
      <c r="B19" s="137"/>
      <c r="C19" s="137"/>
      <c r="D19" s="8">
        <v>330</v>
      </c>
      <c r="E19" s="9"/>
      <c r="F19" s="9"/>
      <c r="G19" s="10">
        <f t="shared" si="0"/>
        <v>0</v>
      </c>
    </row>
    <row r="20" spans="1:7" x14ac:dyDescent="0.3">
      <c r="A20" s="131"/>
      <c r="B20" s="137"/>
      <c r="C20" s="137"/>
      <c r="D20" s="8">
        <v>220</v>
      </c>
      <c r="E20" s="9"/>
      <c r="F20" s="9"/>
      <c r="G20" s="10">
        <f t="shared" si="0"/>
        <v>0</v>
      </c>
    </row>
    <row r="21" spans="1:7" x14ac:dyDescent="0.3">
      <c r="A21" s="131"/>
      <c r="B21" s="137"/>
      <c r="C21" s="137"/>
      <c r="D21" s="8" t="s">
        <v>24</v>
      </c>
      <c r="E21" s="9"/>
      <c r="F21" s="9"/>
      <c r="G21" s="10">
        <f t="shared" si="0"/>
        <v>0</v>
      </c>
    </row>
    <row r="22" spans="1:7" x14ac:dyDescent="0.3">
      <c r="A22" s="131"/>
      <c r="B22" s="137"/>
      <c r="C22" s="137"/>
      <c r="D22" s="8">
        <v>35</v>
      </c>
      <c r="E22" s="9"/>
      <c r="F22" s="9"/>
      <c r="G22" s="10">
        <f t="shared" si="0"/>
        <v>0</v>
      </c>
    </row>
    <row r="23" spans="1:7" x14ac:dyDescent="0.3">
      <c r="A23" s="131"/>
      <c r="B23" s="137"/>
      <c r="C23" s="137"/>
      <c r="D23" s="11" t="s">
        <v>27</v>
      </c>
      <c r="E23" s="9">
        <v>1</v>
      </c>
      <c r="F23" s="9">
        <v>2</v>
      </c>
      <c r="G23" s="10">
        <f t="shared" si="0"/>
        <v>2</v>
      </c>
    </row>
    <row r="24" spans="1:7" x14ac:dyDescent="0.3">
      <c r="A24" s="131">
        <v>3</v>
      </c>
      <c r="B24" s="137" t="s">
        <v>28</v>
      </c>
      <c r="C24" s="137" t="s">
        <v>29</v>
      </c>
      <c r="D24" s="8">
        <v>1150</v>
      </c>
      <c r="E24" s="9"/>
      <c r="F24" s="9"/>
      <c r="G24" s="10">
        <f t="shared" si="0"/>
        <v>0</v>
      </c>
    </row>
    <row r="25" spans="1:7" x14ac:dyDescent="0.3">
      <c r="A25" s="131"/>
      <c r="B25" s="137"/>
      <c r="C25" s="137"/>
      <c r="D25" s="8">
        <v>750</v>
      </c>
      <c r="E25" s="9"/>
      <c r="F25" s="9"/>
      <c r="G25" s="10">
        <f t="shared" si="0"/>
        <v>0</v>
      </c>
    </row>
    <row r="26" spans="1:7" x14ac:dyDescent="0.3">
      <c r="A26" s="131"/>
      <c r="B26" s="137"/>
      <c r="C26" s="137"/>
      <c r="D26" s="8" t="s">
        <v>23</v>
      </c>
      <c r="E26" s="9"/>
      <c r="F26" s="9"/>
      <c r="G26" s="10">
        <f t="shared" si="0"/>
        <v>0</v>
      </c>
    </row>
    <row r="27" spans="1:7" x14ac:dyDescent="0.3">
      <c r="A27" s="131"/>
      <c r="B27" s="137"/>
      <c r="C27" s="137"/>
      <c r="D27" s="8">
        <v>330</v>
      </c>
      <c r="E27" s="9"/>
      <c r="F27" s="9"/>
      <c r="G27" s="10">
        <f t="shared" si="0"/>
        <v>0</v>
      </c>
    </row>
    <row r="28" spans="1:7" x14ac:dyDescent="0.3">
      <c r="A28" s="131"/>
      <c r="B28" s="137"/>
      <c r="C28" s="137"/>
      <c r="D28" s="8">
        <v>220</v>
      </c>
      <c r="E28" s="9"/>
      <c r="F28" s="9"/>
      <c r="G28" s="10">
        <f t="shared" si="0"/>
        <v>0</v>
      </c>
    </row>
    <row r="29" spans="1:7" x14ac:dyDescent="0.3">
      <c r="A29" s="131"/>
      <c r="B29" s="137"/>
      <c r="C29" s="137"/>
      <c r="D29" s="8" t="s">
        <v>24</v>
      </c>
      <c r="E29" s="9"/>
      <c r="F29" s="9"/>
      <c r="G29" s="10">
        <f t="shared" si="0"/>
        <v>0</v>
      </c>
    </row>
    <row r="30" spans="1:7" x14ac:dyDescent="0.3">
      <c r="A30" s="131"/>
      <c r="B30" s="137"/>
      <c r="C30" s="137"/>
      <c r="D30" s="8">
        <v>35</v>
      </c>
      <c r="E30" s="9"/>
      <c r="F30" s="9"/>
      <c r="G30" s="10">
        <f t="shared" si="0"/>
        <v>0</v>
      </c>
    </row>
    <row r="31" spans="1:7" x14ac:dyDescent="0.3">
      <c r="A31" s="131"/>
      <c r="B31" s="137"/>
      <c r="C31" s="137"/>
      <c r="D31" s="11" t="s">
        <v>27</v>
      </c>
      <c r="E31" s="9"/>
      <c r="F31" s="9"/>
      <c r="G31" s="10">
        <f t="shared" si="0"/>
        <v>0</v>
      </c>
    </row>
    <row r="32" spans="1:7" x14ac:dyDescent="0.3">
      <c r="A32" s="131">
        <v>4</v>
      </c>
      <c r="B32" s="137" t="s">
        <v>30</v>
      </c>
      <c r="C32" s="137" t="s">
        <v>31</v>
      </c>
      <c r="D32" s="8">
        <v>220</v>
      </c>
      <c r="E32" s="9"/>
      <c r="F32" s="9"/>
      <c r="G32" s="10">
        <f t="shared" si="0"/>
        <v>0</v>
      </c>
    </row>
    <row r="33" spans="1:7" x14ac:dyDescent="0.3">
      <c r="A33" s="131"/>
      <c r="B33" s="137"/>
      <c r="C33" s="137"/>
      <c r="D33" s="8" t="s">
        <v>24</v>
      </c>
      <c r="E33" s="9"/>
      <c r="F33" s="9"/>
      <c r="G33" s="10">
        <f t="shared" si="0"/>
        <v>0</v>
      </c>
    </row>
    <row r="34" spans="1:7" x14ac:dyDescent="0.3">
      <c r="A34" s="131"/>
      <c r="B34" s="137"/>
      <c r="C34" s="137"/>
      <c r="D34" s="8">
        <v>35</v>
      </c>
      <c r="E34" s="9">
        <v>6.4</v>
      </c>
      <c r="F34" s="9">
        <v>14</v>
      </c>
      <c r="G34" s="10">
        <f t="shared" si="0"/>
        <v>89.600000000000009</v>
      </c>
    </row>
    <row r="35" spans="1:7" x14ac:dyDescent="0.3">
      <c r="A35" s="131"/>
      <c r="B35" s="137"/>
      <c r="C35" s="137"/>
      <c r="D35" s="11" t="s">
        <v>27</v>
      </c>
      <c r="E35" s="9">
        <v>3.1</v>
      </c>
      <c r="F35" s="9">
        <v>36</v>
      </c>
      <c r="G35" s="10">
        <f t="shared" si="0"/>
        <v>111.60000000000001</v>
      </c>
    </row>
    <row r="36" spans="1:7" x14ac:dyDescent="0.3">
      <c r="A36" s="131">
        <v>5</v>
      </c>
      <c r="B36" s="137" t="s">
        <v>32</v>
      </c>
      <c r="C36" s="137" t="s">
        <v>26</v>
      </c>
      <c r="D36" s="8" t="s">
        <v>23</v>
      </c>
      <c r="E36" s="9"/>
      <c r="F36" s="9"/>
      <c r="G36" s="10">
        <f t="shared" si="0"/>
        <v>0</v>
      </c>
    </row>
    <row r="37" spans="1:7" x14ac:dyDescent="0.3">
      <c r="A37" s="131"/>
      <c r="B37" s="137"/>
      <c r="C37" s="137"/>
      <c r="D37" s="8">
        <v>330</v>
      </c>
      <c r="E37" s="9"/>
      <c r="F37" s="9"/>
      <c r="G37" s="10">
        <f t="shared" si="0"/>
        <v>0</v>
      </c>
    </row>
    <row r="38" spans="1:7" x14ac:dyDescent="0.3">
      <c r="A38" s="131"/>
      <c r="B38" s="137"/>
      <c r="C38" s="137"/>
      <c r="D38" s="8">
        <v>220</v>
      </c>
      <c r="E38" s="9"/>
      <c r="F38" s="9"/>
      <c r="G38" s="10">
        <f t="shared" si="0"/>
        <v>0</v>
      </c>
    </row>
    <row r="39" spans="1:7" x14ac:dyDescent="0.3">
      <c r="A39" s="131"/>
      <c r="B39" s="137"/>
      <c r="C39" s="137"/>
      <c r="D39" s="8" t="s">
        <v>24</v>
      </c>
      <c r="E39" s="9"/>
      <c r="F39" s="9"/>
      <c r="G39" s="10">
        <f t="shared" si="0"/>
        <v>0</v>
      </c>
    </row>
    <row r="40" spans="1:7" x14ac:dyDescent="0.3">
      <c r="A40" s="131"/>
      <c r="B40" s="137"/>
      <c r="C40" s="137"/>
      <c r="D40" s="8">
        <v>35</v>
      </c>
      <c r="E40" s="9">
        <v>4.7</v>
      </c>
      <c r="F40" s="9"/>
      <c r="G40" s="10">
        <f t="shared" si="0"/>
        <v>0</v>
      </c>
    </row>
    <row r="41" spans="1:7" ht="22.5" customHeight="1" x14ac:dyDescent="0.3">
      <c r="A41" s="86">
        <v>6</v>
      </c>
      <c r="B41" s="87" t="s">
        <v>33</v>
      </c>
      <c r="C41" s="87" t="s">
        <v>31</v>
      </c>
      <c r="D41" s="11" t="s">
        <v>27</v>
      </c>
      <c r="E41" s="9">
        <v>2.2999999999999998</v>
      </c>
      <c r="F41" s="9">
        <v>273</v>
      </c>
      <c r="G41" s="10">
        <f t="shared" si="0"/>
        <v>627.9</v>
      </c>
    </row>
    <row r="42" spans="1:7" ht="31.5" customHeight="1" x14ac:dyDescent="0.3">
      <c r="A42" s="86">
        <v>7</v>
      </c>
      <c r="B42" s="87" t="s">
        <v>34</v>
      </c>
      <c r="C42" s="87" t="s">
        <v>31</v>
      </c>
      <c r="D42" s="11" t="s">
        <v>27</v>
      </c>
      <c r="E42" s="9"/>
      <c r="F42" s="9"/>
      <c r="G42" s="10">
        <f t="shared" si="0"/>
        <v>0</v>
      </c>
    </row>
    <row r="43" spans="1:7" ht="18" customHeight="1" x14ac:dyDescent="0.3">
      <c r="A43" s="86">
        <v>8</v>
      </c>
      <c r="B43" s="87" t="s">
        <v>35</v>
      </c>
      <c r="C43" s="87" t="s">
        <v>31</v>
      </c>
      <c r="D43" s="11" t="s">
        <v>27</v>
      </c>
      <c r="E43" s="9"/>
      <c r="F43" s="9"/>
      <c r="G43" s="10">
        <f t="shared" si="0"/>
        <v>0</v>
      </c>
    </row>
    <row r="44" spans="1:7" x14ac:dyDescent="0.3">
      <c r="A44" s="128">
        <v>9</v>
      </c>
      <c r="B44" s="129" t="s">
        <v>36</v>
      </c>
      <c r="C44" s="130" t="s">
        <v>37</v>
      </c>
      <c r="D44" s="8" t="s">
        <v>24</v>
      </c>
      <c r="E44" s="9"/>
      <c r="F44" s="9"/>
      <c r="G44" s="10">
        <f t="shared" si="0"/>
        <v>0</v>
      </c>
    </row>
    <row r="45" spans="1:7" x14ac:dyDescent="0.3">
      <c r="A45" s="128"/>
      <c r="B45" s="129"/>
      <c r="C45" s="130"/>
      <c r="D45" s="8">
        <v>35</v>
      </c>
      <c r="E45" s="9"/>
      <c r="F45" s="9"/>
      <c r="G45" s="10">
        <f t="shared" si="0"/>
        <v>0</v>
      </c>
    </row>
    <row r="46" spans="1:7" x14ac:dyDescent="0.3">
      <c r="A46" s="128"/>
      <c r="B46" s="129"/>
      <c r="C46" s="130"/>
      <c r="D46" s="11" t="s">
        <v>27</v>
      </c>
      <c r="E46" s="9"/>
      <c r="F46" s="9"/>
      <c r="G46" s="10">
        <f t="shared" si="0"/>
        <v>0</v>
      </c>
    </row>
    <row r="47" spans="1:7" ht="28.5" customHeight="1" x14ac:dyDescent="0.3">
      <c r="A47" s="86">
        <v>10</v>
      </c>
      <c r="B47" s="87" t="s">
        <v>38</v>
      </c>
      <c r="C47" s="87" t="s">
        <v>39</v>
      </c>
      <c r="D47" s="11" t="s">
        <v>27</v>
      </c>
      <c r="E47" s="9">
        <v>2.5</v>
      </c>
      <c r="F47" s="9">
        <v>7</v>
      </c>
      <c r="G47" s="10">
        <f t="shared" si="0"/>
        <v>17.5</v>
      </c>
    </row>
    <row r="48" spans="1:7" ht="38.25" customHeight="1" x14ac:dyDescent="0.3">
      <c r="A48" s="86">
        <v>11</v>
      </c>
      <c r="B48" s="87" t="s">
        <v>40</v>
      </c>
      <c r="C48" s="87" t="s">
        <v>41</v>
      </c>
      <c r="D48" s="11" t="s">
        <v>27</v>
      </c>
      <c r="E48" s="9">
        <v>2.2999999999999998</v>
      </c>
      <c r="F48" s="9">
        <v>65</v>
      </c>
      <c r="G48" s="10">
        <f t="shared" si="0"/>
        <v>149.5</v>
      </c>
    </row>
    <row r="49" spans="1:9" ht="29.25" customHeight="1" x14ac:dyDescent="0.3">
      <c r="A49" s="86">
        <v>12</v>
      </c>
      <c r="B49" s="87" t="s">
        <v>42</v>
      </c>
      <c r="C49" s="87" t="s">
        <v>41</v>
      </c>
      <c r="D49" s="11" t="s">
        <v>27</v>
      </c>
      <c r="E49" s="9">
        <v>3</v>
      </c>
      <c r="F49" s="9">
        <v>42</v>
      </c>
      <c r="G49" s="10">
        <f t="shared" si="0"/>
        <v>126</v>
      </c>
    </row>
    <row r="50" spans="1:9" ht="30" customHeight="1" x14ac:dyDescent="0.3">
      <c r="A50" s="86">
        <v>13</v>
      </c>
      <c r="B50" s="87" t="s">
        <v>43</v>
      </c>
      <c r="C50" s="87" t="s">
        <v>44</v>
      </c>
      <c r="D50" s="8">
        <v>35</v>
      </c>
      <c r="E50" s="9"/>
      <c r="F50" s="9"/>
      <c r="G50" s="10">
        <f t="shared" si="0"/>
        <v>0</v>
      </c>
    </row>
    <row r="51" spans="1:9" x14ac:dyDescent="0.3">
      <c r="A51" s="131" t="s">
        <v>45</v>
      </c>
      <c r="B51" s="133" t="s">
        <v>7</v>
      </c>
      <c r="C51" s="135"/>
      <c r="D51" s="8" t="s">
        <v>46</v>
      </c>
      <c r="E51" s="12"/>
      <c r="F51" s="12"/>
      <c r="G51" s="13">
        <f>G39+G38+G33+G32+G29+G28+G21+G20+G14+G13+G44</f>
        <v>0</v>
      </c>
    </row>
    <row r="52" spans="1:9" x14ac:dyDescent="0.3">
      <c r="A52" s="131"/>
      <c r="B52" s="133"/>
      <c r="C52" s="135"/>
      <c r="D52" s="8" t="s">
        <v>47</v>
      </c>
      <c r="E52" s="12"/>
      <c r="F52" s="12"/>
      <c r="G52" s="13">
        <f>G34+G40+G15</f>
        <v>164.60000000000002</v>
      </c>
    </row>
    <row r="53" spans="1:9" x14ac:dyDescent="0.3">
      <c r="A53" s="131"/>
      <c r="B53" s="133"/>
      <c r="C53" s="135"/>
      <c r="D53" s="8" t="s">
        <v>48</v>
      </c>
      <c r="E53" s="12"/>
      <c r="F53" s="12"/>
      <c r="G53" s="13">
        <f>G23+G35+G41+G47+G48+G49</f>
        <v>1034.5</v>
      </c>
      <c r="I53" s="82"/>
    </row>
    <row r="54" spans="1:9" ht="15" thickBot="1" x14ac:dyDescent="0.35">
      <c r="A54" s="132"/>
      <c r="B54" s="134"/>
      <c r="C54" s="136"/>
      <c r="D54" s="14" t="s">
        <v>49</v>
      </c>
      <c r="E54" s="15"/>
      <c r="F54" s="15"/>
      <c r="G54" s="16">
        <f>SUM(G9:G50) - G51-G52-G53</f>
        <v>0</v>
      </c>
    </row>
    <row r="56" spans="1:9" x14ac:dyDescent="0.3">
      <c r="B56" s="17"/>
    </row>
    <row r="57" spans="1:9" x14ac:dyDescent="0.3">
      <c r="A57" s="3" t="s">
        <v>283</v>
      </c>
      <c r="B57" s="43"/>
      <c r="C57" s="43"/>
      <c r="D57" s="43"/>
      <c r="E57" s="43"/>
      <c r="F57" s="43"/>
      <c r="G57" s="43"/>
      <c r="H57" s="3"/>
    </row>
    <row r="58" spans="1:9" x14ac:dyDescent="0.3">
      <c r="A58" s="3" t="s">
        <v>284</v>
      </c>
      <c r="B58" s="3"/>
      <c r="C58" s="3"/>
      <c r="D58" s="3"/>
      <c r="E58" s="3"/>
      <c r="F58" s="3"/>
      <c r="G58" s="3"/>
      <c r="H58" s="3"/>
    </row>
    <row r="59" spans="1:9" x14ac:dyDescent="0.3">
      <c r="A59" s="3"/>
      <c r="B59" s="3" t="s">
        <v>285</v>
      </c>
      <c r="C59" s="3"/>
      <c r="D59" s="3"/>
      <c r="E59" s="3"/>
      <c r="F59" s="3"/>
      <c r="G59" s="3"/>
      <c r="H59" s="3"/>
    </row>
    <row r="60" spans="1:9" x14ac:dyDescent="0.3">
      <c r="A60" s="3"/>
      <c r="B60" s="3" t="s">
        <v>286</v>
      </c>
      <c r="C60" s="3"/>
      <c r="D60" s="3"/>
      <c r="E60" s="3"/>
      <c r="F60" s="3"/>
      <c r="G60" s="3"/>
      <c r="H60" s="3"/>
    </row>
    <row r="61" spans="1:9" x14ac:dyDescent="0.3">
      <c r="A61" s="3"/>
      <c r="B61" s="3" t="s">
        <v>287</v>
      </c>
      <c r="C61" s="3"/>
      <c r="D61" s="3"/>
      <c r="E61" s="3"/>
      <c r="F61" s="3"/>
      <c r="G61" s="3"/>
      <c r="H61" s="3"/>
    </row>
    <row r="62" spans="1:9" x14ac:dyDescent="0.3">
      <c r="A62" s="3" t="s">
        <v>288</v>
      </c>
      <c r="B62" s="3"/>
      <c r="C62" s="3"/>
      <c r="D62" s="3"/>
      <c r="E62" s="3"/>
      <c r="F62" s="3"/>
      <c r="G62" s="3"/>
      <c r="H62" s="3"/>
    </row>
    <row r="63" spans="1:9" x14ac:dyDescent="0.3">
      <c r="A63" s="3" t="s">
        <v>289</v>
      </c>
      <c r="B63" s="3"/>
      <c r="C63" s="3"/>
      <c r="D63" s="3"/>
      <c r="E63" s="3"/>
      <c r="F63" s="3"/>
      <c r="G63" s="3"/>
      <c r="H63" s="3"/>
    </row>
    <row r="64" spans="1:9" x14ac:dyDescent="0.3">
      <c r="A64" s="3" t="s">
        <v>290</v>
      </c>
      <c r="B64" s="3"/>
      <c r="C64" s="3"/>
      <c r="D64" s="3"/>
      <c r="E64" s="3"/>
      <c r="F64" s="3"/>
      <c r="G64" s="3"/>
      <c r="H64" s="3"/>
    </row>
    <row r="65" spans="1:8" x14ac:dyDescent="0.3">
      <c r="A65" s="3"/>
      <c r="B65" s="3"/>
      <c r="C65" s="3"/>
      <c r="D65" s="3"/>
      <c r="E65" s="3"/>
      <c r="F65" s="3"/>
      <c r="G65" s="3"/>
      <c r="H65" s="3"/>
    </row>
    <row r="66" spans="1:8" x14ac:dyDescent="0.3">
      <c r="A66" s="3" t="s">
        <v>291</v>
      </c>
      <c r="B66" s="3"/>
      <c r="C66" s="3"/>
      <c r="D66" s="3"/>
      <c r="E66" s="3"/>
      <c r="F66" s="3"/>
      <c r="G66" s="3"/>
      <c r="H66" s="3"/>
    </row>
    <row r="67" spans="1:8" x14ac:dyDescent="0.3">
      <c r="A67" s="97" t="s">
        <v>292</v>
      </c>
      <c r="B67" s="3"/>
      <c r="C67" s="3"/>
      <c r="D67" s="3"/>
      <c r="E67" s="3"/>
      <c r="F67" s="3"/>
      <c r="G67" s="3"/>
      <c r="H67" s="3"/>
    </row>
  </sheetData>
  <protectedRanges>
    <protectedRange sqref="E9:F54" name="Диапазон1_1"/>
  </protectedRanges>
  <mergeCells count="27">
    <mergeCell ref="A24:A31"/>
    <mergeCell ref="B24:B31"/>
    <mergeCell ref="C24:C31"/>
    <mergeCell ref="A2:G4"/>
    <mergeCell ref="A5:A6"/>
    <mergeCell ref="B5:B6"/>
    <mergeCell ref="C5:C6"/>
    <mergeCell ref="D5:D6"/>
    <mergeCell ref="A9:A15"/>
    <mergeCell ref="B9:B15"/>
    <mergeCell ref="C9:C15"/>
    <mergeCell ref="F1:G1"/>
    <mergeCell ref="A44:A46"/>
    <mergeCell ref="B44:B46"/>
    <mergeCell ref="C44:C46"/>
    <mergeCell ref="A51:A54"/>
    <mergeCell ref="B51:B54"/>
    <mergeCell ref="C51:C54"/>
    <mergeCell ref="A32:A35"/>
    <mergeCell ref="B32:B35"/>
    <mergeCell ref="C32:C35"/>
    <mergeCell ref="A36:A40"/>
    <mergeCell ref="B36:B40"/>
    <mergeCell ref="C36:C40"/>
    <mergeCell ref="A16:A23"/>
    <mergeCell ref="B16:B23"/>
    <mergeCell ref="C16:C2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H60"/>
  <sheetViews>
    <sheetView workbookViewId="0">
      <selection activeCell="B66" sqref="B66"/>
    </sheetView>
  </sheetViews>
  <sheetFormatPr defaultColWidth="8.77734375" defaultRowHeight="13.8" x14ac:dyDescent="0.3"/>
  <cols>
    <col min="1" max="1" width="7" style="3" customWidth="1"/>
    <col min="2" max="2" width="9.5546875" style="3" customWidth="1"/>
    <col min="3" max="3" width="8" style="3" customWidth="1"/>
    <col min="4" max="4" width="8.77734375" style="3" customWidth="1"/>
    <col min="5" max="5" width="20.77734375" style="3" customWidth="1"/>
    <col min="6" max="6" width="10.21875" style="3" customWidth="1"/>
    <col min="7" max="7" width="11.5546875" style="3" customWidth="1"/>
    <col min="8" max="16384" width="8.77734375" style="3"/>
  </cols>
  <sheetData>
    <row r="1" spans="1:8" x14ac:dyDescent="0.3">
      <c r="A1" s="83"/>
      <c r="B1" s="84" t="s">
        <v>88</v>
      </c>
      <c r="C1" s="83"/>
      <c r="D1" s="83"/>
      <c r="E1" s="84" t="s">
        <v>327</v>
      </c>
      <c r="F1" s="83"/>
      <c r="G1" s="83" t="s">
        <v>84</v>
      </c>
      <c r="H1" s="83"/>
    </row>
    <row r="2" spans="1:8" x14ac:dyDescent="0.3">
      <c r="A2" s="138" t="s">
        <v>81</v>
      </c>
      <c r="B2" s="138"/>
      <c r="C2" s="138"/>
      <c r="D2" s="138"/>
      <c r="E2" s="138"/>
      <c r="F2" s="138"/>
      <c r="G2" s="138"/>
      <c r="H2" s="138"/>
    </row>
    <row r="3" spans="1:8" x14ac:dyDescent="0.3">
      <c r="A3" s="138"/>
      <c r="B3" s="138"/>
      <c r="C3" s="138"/>
      <c r="D3" s="138"/>
      <c r="E3" s="138"/>
      <c r="F3" s="138"/>
      <c r="G3" s="138"/>
      <c r="H3" s="138"/>
    </row>
    <row r="4" spans="1:8" x14ac:dyDescent="0.3">
      <c r="A4" s="138"/>
      <c r="B4" s="138"/>
      <c r="C4" s="138"/>
      <c r="D4" s="138"/>
      <c r="E4" s="138"/>
      <c r="F4" s="138"/>
      <c r="G4" s="138"/>
      <c r="H4" s="138"/>
    </row>
    <row r="5" spans="1:8" ht="24.6" customHeight="1" thickBot="1" x14ac:dyDescent="0.35">
      <c r="A5" s="139"/>
      <c r="B5" s="139"/>
      <c r="C5" s="139"/>
      <c r="D5" s="139"/>
      <c r="E5" s="139"/>
      <c r="F5" s="139"/>
      <c r="G5" s="139"/>
      <c r="H5" s="139"/>
    </row>
    <row r="6" spans="1:8" ht="115.2" customHeight="1" x14ac:dyDescent="0.3">
      <c r="A6" s="148" t="s">
        <v>50</v>
      </c>
      <c r="B6" s="150" t="s">
        <v>10</v>
      </c>
      <c r="C6" s="28"/>
      <c r="D6" s="150" t="s">
        <v>51</v>
      </c>
      <c r="E6" s="150" t="s">
        <v>52</v>
      </c>
      <c r="F6" s="95" t="s">
        <v>53</v>
      </c>
      <c r="G6" s="95" t="s">
        <v>54</v>
      </c>
      <c r="H6" s="29" t="s">
        <v>13</v>
      </c>
    </row>
    <row r="7" spans="1:8" ht="30.6" customHeight="1" x14ac:dyDescent="0.3">
      <c r="A7" s="149"/>
      <c r="B7" s="151"/>
      <c r="C7" s="30"/>
      <c r="D7" s="151"/>
      <c r="E7" s="151"/>
      <c r="F7" s="96" t="s">
        <v>55</v>
      </c>
      <c r="G7" s="96" t="s">
        <v>6</v>
      </c>
      <c r="H7" s="31" t="s">
        <v>16</v>
      </c>
    </row>
    <row r="8" spans="1:8" x14ac:dyDescent="0.3">
      <c r="A8" s="94"/>
      <c r="B8" s="96"/>
      <c r="C8" s="30"/>
      <c r="D8" s="96"/>
      <c r="E8" s="96"/>
      <c r="F8" s="96" t="s">
        <v>17</v>
      </c>
      <c r="G8" s="96" t="s">
        <v>18</v>
      </c>
      <c r="H8" s="31" t="s">
        <v>19</v>
      </c>
    </row>
    <row r="9" spans="1:8" ht="26.4" x14ac:dyDescent="0.3">
      <c r="A9" s="32">
        <v>1</v>
      </c>
      <c r="B9" s="96">
        <f>+A9+1</f>
        <v>2</v>
      </c>
      <c r="C9" s="30"/>
      <c r="D9" s="96">
        <f>+B9+1</f>
        <v>3</v>
      </c>
      <c r="E9" s="96">
        <f>+D9+1</f>
        <v>4</v>
      </c>
      <c r="F9" s="96">
        <f>+E9+1</f>
        <v>5</v>
      </c>
      <c r="G9" s="96">
        <f>+F9+1</f>
        <v>6</v>
      </c>
      <c r="H9" s="31" t="s">
        <v>56</v>
      </c>
    </row>
    <row r="10" spans="1:8" x14ac:dyDescent="0.3">
      <c r="A10" s="146" t="s">
        <v>57</v>
      </c>
      <c r="B10" s="93">
        <v>1150</v>
      </c>
      <c r="C10" s="93">
        <v>1150</v>
      </c>
      <c r="D10" s="93" t="s">
        <v>58</v>
      </c>
      <c r="E10" s="93" t="s">
        <v>59</v>
      </c>
      <c r="F10" s="33"/>
      <c r="G10" s="33"/>
      <c r="H10" s="34">
        <f t="shared" ref="H10:H29" si="0">F10*G10/100</f>
        <v>0</v>
      </c>
    </row>
    <row r="11" spans="1:8" x14ac:dyDescent="0.3">
      <c r="A11" s="146"/>
      <c r="B11" s="93">
        <v>750</v>
      </c>
      <c r="C11" s="93">
        <v>750</v>
      </c>
      <c r="D11" s="93">
        <v>1</v>
      </c>
      <c r="E11" s="93" t="s">
        <v>59</v>
      </c>
      <c r="F11" s="33"/>
      <c r="G11" s="33"/>
      <c r="H11" s="34">
        <f t="shared" si="0"/>
        <v>0</v>
      </c>
    </row>
    <row r="12" spans="1:8" x14ac:dyDescent="0.3">
      <c r="A12" s="146"/>
      <c r="B12" s="147" t="s">
        <v>23</v>
      </c>
      <c r="C12" s="93" t="s">
        <v>60</v>
      </c>
      <c r="D12" s="147">
        <v>1</v>
      </c>
      <c r="E12" s="93" t="s">
        <v>59</v>
      </c>
      <c r="F12" s="33"/>
      <c r="G12" s="33"/>
      <c r="H12" s="34">
        <f t="shared" si="0"/>
        <v>0</v>
      </c>
    </row>
    <row r="13" spans="1:8" x14ac:dyDescent="0.3">
      <c r="A13" s="146"/>
      <c r="B13" s="147"/>
      <c r="C13" s="93" t="s">
        <v>60</v>
      </c>
      <c r="D13" s="147"/>
      <c r="E13" s="93" t="s">
        <v>61</v>
      </c>
      <c r="F13" s="33"/>
      <c r="G13" s="33"/>
      <c r="H13" s="34">
        <f t="shared" si="0"/>
        <v>0</v>
      </c>
    </row>
    <row r="14" spans="1:8" x14ac:dyDescent="0.3">
      <c r="A14" s="146"/>
      <c r="B14" s="147">
        <v>330</v>
      </c>
      <c r="C14" s="93">
        <v>330</v>
      </c>
      <c r="D14" s="147">
        <v>1</v>
      </c>
      <c r="E14" s="93" t="s">
        <v>59</v>
      </c>
      <c r="F14" s="33"/>
      <c r="G14" s="33"/>
      <c r="H14" s="34">
        <f t="shared" si="0"/>
        <v>0</v>
      </c>
    </row>
    <row r="15" spans="1:8" x14ac:dyDescent="0.3">
      <c r="A15" s="146"/>
      <c r="B15" s="147"/>
      <c r="C15" s="93">
        <v>330</v>
      </c>
      <c r="D15" s="147"/>
      <c r="E15" s="93" t="s">
        <v>61</v>
      </c>
      <c r="F15" s="33"/>
      <c r="G15" s="33"/>
      <c r="H15" s="34">
        <f t="shared" si="0"/>
        <v>0</v>
      </c>
    </row>
    <row r="16" spans="1:8" x14ac:dyDescent="0.3">
      <c r="A16" s="146"/>
      <c r="B16" s="147"/>
      <c r="C16" s="93">
        <v>330</v>
      </c>
      <c r="D16" s="147">
        <v>2</v>
      </c>
      <c r="E16" s="93" t="s">
        <v>59</v>
      </c>
      <c r="F16" s="33"/>
      <c r="G16" s="33"/>
      <c r="H16" s="34">
        <f t="shared" si="0"/>
        <v>0</v>
      </c>
    </row>
    <row r="17" spans="1:8" x14ac:dyDescent="0.3">
      <c r="A17" s="146"/>
      <c r="B17" s="147"/>
      <c r="C17" s="93">
        <v>330</v>
      </c>
      <c r="D17" s="147"/>
      <c r="E17" s="93" t="s">
        <v>61</v>
      </c>
      <c r="F17" s="33"/>
      <c r="G17" s="33"/>
      <c r="H17" s="34">
        <f t="shared" si="0"/>
        <v>0</v>
      </c>
    </row>
    <row r="18" spans="1:8" x14ac:dyDescent="0.3">
      <c r="A18" s="146"/>
      <c r="B18" s="147">
        <v>220</v>
      </c>
      <c r="C18" s="93">
        <v>220</v>
      </c>
      <c r="D18" s="147">
        <v>1</v>
      </c>
      <c r="E18" s="93" t="s">
        <v>62</v>
      </c>
      <c r="F18" s="33"/>
      <c r="G18" s="33"/>
      <c r="H18" s="34">
        <f t="shared" si="0"/>
        <v>0</v>
      </c>
    </row>
    <row r="19" spans="1:8" x14ac:dyDescent="0.3">
      <c r="A19" s="146"/>
      <c r="B19" s="147"/>
      <c r="C19" s="93">
        <v>220</v>
      </c>
      <c r="D19" s="147"/>
      <c r="E19" s="93" t="s">
        <v>59</v>
      </c>
      <c r="F19" s="33"/>
      <c r="G19" s="33"/>
      <c r="H19" s="34">
        <f t="shared" si="0"/>
        <v>0</v>
      </c>
    </row>
    <row r="20" spans="1:8" x14ac:dyDescent="0.3">
      <c r="A20" s="146"/>
      <c r="B20" s="147"/>
      <c r="C20" s="93">
        <v>220</v>
      </c>
      <c r="D20" s="147"/>
      <c r="E20" s="93" t="s">
        <v>61</v>
      </c>
      <c r="F20" s="33"/>
      <c r="G20" s="33"/>
      <c r="H20" s="34">
        <f t="shared" si="0"/>
        <v>0</v>
      </c>
    </row>
    <row r="21" spans="1:8" x14ac:dyDescent="0.3">
      <c r="A21" s="146"/>
      <c r="B21" s="147"/>
      <c r="C21" s="93">
        <v>220</v>
      </c>
      <c r="D21" s="147">
        <v>2</v>
      </c>
      <c r="E21" s="93" t="s">
        <v>59</v>
      </c>
      <c r="F21" s="33"/>
      <c r="G21" s="33"/>
      <c r="H21" s="34">
        <f t="shared" si="0"/>
        <v>0</v>
      </c>
    </row>
    <row r="22" spans="1:8" x14ac:dyDescent="0.3">
      <c r="A22" s="146"/>
      <c r="B22" s="147"/>
      <c r="C22" s="93">
        <v>220</v>
      </c>
      <c r="D22" s="147"/>
      <c r="E22" s="93" t="s">
        <v>61</v>
      </c>
      <c r="F22" s="33"/>
      <c r="G22" s="33"/>
      <c r="H22" s="34">
        <f t="shared" si="0"/>
        <v>0</v>
      </c>
    </row>
    <row r="23" spans="1:8" x14ac:dyDescent="0.3">
      <c r="A23" s="146"/>
      <c r="B23" s="147" t="s">
        <v>24</v>
      </c>
      <c r="C23" s="93" t="s">
        <v>63</v>
      </c>
      <c r="D23" s="147">
        <v>1</v>
      </c>
      <c r="E23" s="93" t="s">
        <v>62</v>
      </c>
      <c r="F23" s="33"/>
      <c r="G23" s="33"/>
      <c r="H23" s="34">
        <f t="shared" si="0"/>
        <v>0</v>
      </c>
    </row>
    <row r="24" spans="1:8" x14ac:dyDescent="0.3">
      <c r="A24" s="146"/>
      <c r="B24" s="147"/>
      <c r="C24" s="93" t="s">
        <v>63</v>
      </c>
      <c r="D24" s="147"/>
      <c r="E24" s="93" t="s">
        <v>59</v>
      </c>
      <c r="F24" s="33"/>
      <c r="G24" s="33"/>
      <c r="H24" s="34">
        <f t="shared" si="0"/>
        <v>0</v>
      </c>
    </row>
    <row r="25" spans="1:8" x14ac:dyDescent="0.3">
      <c r="A25" s="146"/>
      <c r="B25" s="147"/>
      <c r="C25" s="93" t="s">
        <v>63</v>
      </c>
      <c r="D25" s="147"/>
      <c r="E25" s="93" t="s">
        <v>61</v>
      </c>
      <c r="F25" s="33"/>
      <c r="G25" s="33"/>
      <c r="H25" s="34">
        <f t="shared" si="0"/>
        <v>0</v>
      </c>
    </row>
    <row r="26" spans="1:8" x14ac:dyDescent="0.3">
      <c r="A26" s="146"/>
      <c r="B26" s="147"/>
      <c r="C26" s="93" t="s">
        <v>63</v>
      </c>
      <c r="D26" s="147">
        <v>2</v>
      </c>
      <c r="E26" s="93" t="s">
        <v>59</v>
      </c>
      <c r="F26" s="33"/>
      <c r="G26" s="33"/>
      <c r="H26" s="34">
        <f t="shared" si="0"/>
        <v>0</v>
      </c>
    </row>
    <row r="27" spans="1:8" x14ac:dyDescent="0.3">
      <c r="A27" s="146"/>
      <c r="B27" s="147"/>
      <c r="C27" s="93" t="s">
        <v>63</v>
      </c>
      <c r="D27" s="147"/>
      <c r="E27" s="93" t="s">
        <v>61</v>
      </c>
      <c r="F27" s="33"/>
      <c r="G27" s="33"/>
      <c r="H27" s="34">
        <f t="shared" si="0"/>
        <v>0</v>
      </c>
    </row>
    <row r="28" spans="1:8" x14ac:dyDescent="0.3">
      <c r="A28" s="146" t="s">
        <v>64</v>
      </c>
      <c r="B28" s="93">
        <v>220</v>
      </c>
      <c r="C28" s="93">
        <v>220</v>
      </c>
      <c r="D28" s="93" t="s">
        <v>58</v>
      </c>
      <c r="E28" s="93" t="s">
        <v>58</v>
      </c>
      <c r="F28" s="33"/>
      <c r="G28" s="33"/>
      <c r="H28" s="34">
        <f t="shared" si="0"/>
        <v>0</v>
      </c>
    </row>
    <row r="29" spans="1:8" x14ac:dyDescent="0.3">
      <c r="A29" s="146"/>
      <c r="B29" s="93">
        <v>110</v>
      </c>
      <c r="C29" s="93">
        <v>110</v>
      </c>
      <c r="D29" s="93" t="s">
        <v>58</v>
      </c>
      <c r="E29" s="93" t="s">
        <v>58</v>
      </c>
      <c r="F29" s="33"/>
      <c r="G29" s="33"/>
      <c r="H29" s="34">
        <f t="shared" si="0"/>
        <v>0</v>
      </c>
    </row>
    <row r="30" spans="1:8" x14ac:dyDescent="0.3">
      <c r="A30" s="92" t="s">
        <v>65</v>
      </c>
      <c r="B30" s="93"/>
      <c r="C30" s="93"/>
      <c r="D30" s="93"/>
      <c r="E30" s="93"/>
      <c r="F30" s="35"/>
      <c r="G30" s="35"/>
      <c r="H30" s="36">
        <f>SUM(H18:H29)</f>
        <v>0</v>
      </c>
    </row>
    <row r="31" spans="1:8" x14ac:dyDescent="0.3">
      <c r="A31" s="146" t="s">
        <v>57</v>
      </c>
      <c r="B31" s="147">
        <v>35</v>
      </c>
      <c r="C31" s="93">
        <v>35</v>
      </c>
      <c r="D31" s="147">
        <v>1</v>
      </c>
      <c r="E31" s="93" t="s">
        <v>62</v>
      </c>
      <c r="F31" s="37"/>
      <c r="G31" s="37"/>
      <c r="H31" s="34">
        <f t="shared" ref="H31:H40" si="1">F31*G31/100</f>
        <v>0</v>
      </c>
    </row>
    <row r="32" spans="1:8" x14ac:dyDescent="0.3">
      <c r="A32" s="146"/>
      <c r="B32" s="147"/>
      <c r="C32" s="93">
        <v>35</v>
      </c>
      <c r="D32" s="147"/>
      <c r="E32" s="93" t="s">
        <v>59</v>
      </c>
      <c r="F32" s="37">
        <v>140</v>
      </c>
      <c r="G32" s="37">
        <v>16.309999999999999</v>
      </c>
      <c r="H32" s="34">
        <f t="shared" si="1"/>
        <v>22.833999999999996</v>
      </c>
    </row>
    <row r="33" spans="1:8" x14ac:dyDescent="0.3">
      <c r="A33" s="146"/>
      <c r="B33" s="147"/>
      <c r="C33" s="93">
        <v>35</v>
      </c>
      <c r="D33" s="147"/>
      <c r="E33" s="93" t="s">
        <v>61</v>
      </c>
      <c r="F33" s="37">
        <v>120</v>
      </c>
      <c r="G33" s="37">
        <v>24.37</v>
      </c>
      <c r="H33" s="34">
        <f t="shared" si="1"/>
        <v>29.244</v>
      </c>
    </row>
    <row r="34" spans="1:8" x14ac:dyDescent="0.3">
      <c r="A34" s="146"/>
      <c r="B34" s="147"/>
      <c r="C34" s="93">
        <v>35</v>
      </c>
      <c r="D34" s="147">
        <v>2</v>
      </c>
      <c r="E34" s="93" t="s">
        <v>59</v>
      </c>
      <c r="F34" s="37"/>
      <c r="G34" s="37"/>
      <c r="H34" s="34"/>
    </row>
    <row r="35" spans="1:8" x14ac:dyDescent="0.3">
      <c r="A35" s="146"/>
      <c r="B35" s="147"/>
      <c r="C35" s="93">
        <v>35</v>
      </c>
      <c r="D35" s="147"/>
      <c r="E35" s="93" t="s">
        <v>61</v>
      </c>
      <c r="F35" s="37"/>
      <c r="G35" s="37"/>
      <c r="H35" s="34"/>
    </row>
    <row r="36" spans="1:8" x14ac:dyDescent="0.3">
      <c r="A36" s="146"/>
      <c r="B36" s="147" t="s">
        <v>66</v>
      </c>
      <c r="C36" s="93" t="s">
        <v>67</v>
      </c>
      <c r="D36" s="147" t="s">
        <v>58</v>
      </c>
      <c r="E36" s="93" t="s">
        <v>62</v>
      </c>
      <c r="F36" s="37">
        <v>160</v>
      </c>
      <c r="G36" s="38">
        <v>2.1800000000000002</v>
      </c>
      <c r="H36" s="34">
        <f t="shared" si="1"/>
        <v>3.488</v>
      </c>
    </row>
    <row r="37" spans="1:8" x14ac:dyDescent="0.3">
      <c r="A37" s="146"/>
      <c r="B37" s="147"/>
      <c r="C37" s="93" t="s">
        <v>67</v>
      </c>
      <c r="D37" s="147"/>
      <c r="E37" s="93" t="s">
        <v>68</v>
      </c>
      <c r="F37" s="37">
        <v>140</v>
      </c>
      <c r="G37" s="37">
        <v>52.17</v>
      </c>
      <c r="H37" s="34">
        <f t="shared" si="1"/>
        <v>73.037999999999997</v>
      </c>
    </row>
    <row r="38" spans="1:8" x14ac:dyDescent="0.3">
      <c r="A38" s="146"/>
      <c r="B38" s="147"/>
      <c r="C38" s="93" t="s">
        <v>67</v>
      </c>
      <c r="D38" s="147"/>
      <c r="E38" s="93" t="s">
        <v>69</v>
      </c>
      <c r="F38" s="37">
        <v>110</v>
      </c>
      <c r="G38" s="37">
        <v>20.12</v>
      </c>
      <c r="H38" s="34">
        <f t="shared" si="1"/>
        <v>22.132000000000001</v>
      </c>
    </row>
    <row r="39" spans="1:8" x14ac:dyDescent="0.3">
      <c r="A39" s="146" t="s">
        <v>64</v>
      </c>
      <c r="B39" s="93" t="s">
        <v>70</v>
      </c>
      <c r="C39" s="93" t="s">
        <v>71</v>
      </c>
      <c r="D39" s="93" t="s">
        <v>58</v>
      </c>
      <c r="E39" s="93" t="s">
        <v>58</v>
      </c>
      <c r="F39" s="37"/>
      <c r="G39" s="37"/>
      <c r="H39" s="34">
        <f t="shared" si="1"/>
        <v>0</v>
      </c>
    </row>
    <row r="40" spans="1:8" x14ac:dyDescent="0.3">
      <c r="A40" s="146"/>
      <c r="B40" s="93" t="s">
        <v>72</v>
      </c>
      <c r="C40" s="93" t="s">
        <v>73</v>
      </c>
      <c r="D40" s="93" t="s">
        <v>58</v>
      </c>
      <c r="E40" s="93" t="s">
        <v>58</v>
      </c>
      <c r="F40" s="37">
        <v>350</v>
      </c>
      <c r="G40" s="38">
        <v>22.85</v>
      </c>
      <c r="H40" s="34">
        <f t="shared" si="1"/>
        <v>79.975000000000009</v>
      </c>
    </row>
    <row r="41" spans="1:8" x14ac:dyDescent="0.3">
      <c r="A41" s="92" t="s">
        <v>74</v>
      </c>
      <c r="B41" s="93"/>
      <c r="C41" s="93"/>
      <c r="D41" s="93"/>
      <c r="E41" s="93"/>
      <c r="F41" s="35"/>
      <c r="G41" s="35"/>
      <c r="H41" s="36">
        <f>H32+H33-0.01</f>
        <v>52.067999999999998</v>
      </c>
    </row>
    <row r="42" spans="1:8" x14ac:dyDescent="0.3">
      <c r="A42" s="92" t="s">
        <v>75</v>
      </c>
      <c r="B42" s="93"/>
      <c r="C42" s="93"/>
      <c r="D42" s="93"/>
      <c r="E42" s="93"/>
      <c r="F42" s="35"/>
      <c r="G42" s="35"/>
      <c r="H42" s="98">
        <f>H36+H37+H38+H40+0.01</f>
        <v>178.643</v>
      </c>
    </row>
    <row r="43" spans="1:8" x14ac:dyDescent="0.3">
      <c r="A43" s="146" t="s">
        <v>57</v>
      </c>
      <c r="B43" s="147" t="s">
        <v>76</v>
      </c>
      <c r="C43" s="93" t="s">
        <v>77</v>
      </c>
      <c r="D43" s="147" t="s">
        <v>58</v>
      </c>
      <c r="E43" s="93" t="s">
        <v>62</v>
      </c>
      <c r="F43" s="37">
        <v>260</v>
      </c>
      <c r="G43" s="38">
        <v>6.86</v>
      </c>
      <c r="H43" s="34">
        <f>F43*G43/100</f>
        <v>17.836000000000002</v>
      </c>
    </row>
    <row r="44" spans="1:8" x14ac:dyDescent="0.3">
      <c r="A44" s="146"/>
      <c r="B44" s="147"/>
      <c r="C44" s="93" t="s">
        <v>77</v>
      </c>
      <c r="D44" s="147"/>
      <c r="E44" s="93" t="s">
        <v>68</v>
      </c>
      <c r="F44" s="37">
        <v>220</v>
      </c>
      <c r="G44" s="37">
        <v>134.35</v>
      </c>
      <c r="H44" s="34">
        <f>F44*G44/100</f>
        <v>295.57</v>
      </c>
    </row>
    <row r="45" spans="1:8" x14ac:dyDescent="0.3">
      <c r="A45" s="146"/>
      <c r="B45" s="147"/>
      <c r="C45" s="93" t="s">
        <v>77</v>
      </c>
      <c r="D45" s="147"/>
      <c r="E45" s="93" t="s">
        <v>69</v>
      </c>
      <c r="F45" s="37">
        <v>150</v>
      </c>
      <c r="G45" s="37">
        <v>8.32</v>
      </c>
      <c r="H45" s="34">
        <f>F45*G45/100</f>
        <v>12.48</v>
      </c>
    </row>
    <row r="46" spans="1:8" x14ac:dyDescent="0.3">
      <c r="A46" s="92" t="s">
        <v>64</v>
      </c>
      <c r="B46" s="93" t="s">
        <v>78</v>
      </c>
      <c r="C46" s="93" t="s">
        <v>79</v>
      </c>
      <c r="D46" s="93" t="s">
        <v>58</v>
      </c>
      <c r="E46" s="93" t="s">
        <v>58</v>
      </c>
      <c r="F46" s="37">
        <v>270</v>
      </c>
      <c r="G46" s="38">
        <v>23.18</v>
      </c>
      <c r="H46" s="34">
        <f>F46*G46/100</f>
        <v>62.586000000000006</v>
      </c>
    </row>
    <row r="47" spans="1:8" ht="14.4" thickBot="1" x14ac:dyDescent="0.35">
      <c r="A47" s="39" t="s">
        <v>80</v>
      </c>
      <c r="B47" s="40"/>
      <c r="C47" s="40"/>
      <c r="D47" s="40"/>
      <c r="E47" s="40"/>
      <c r="F47" s="41"/>
      <c r="G47" s="41"/>
      <c r="H47" s="42">
        <f>H43+H44+H45+H46+0.01</f>
        <v>388.48200000000003</v>
      </c>
    </row>
    <row r="48" spans="1:8" x14ac:dyDescent="0.3">
      <c r="H48" s="112"/>
    </row>
    <row r="49" spans="1:7" x14ac:dyDescent="0.3">
      <c r="B49" s="43"/>
      <c r="C49" s="43"/>
      <c r="D49" s="43"/>
      <c r="E49" s="43"/>
      <c r="F49" s="43"/>
      <c r="G49" s="43"/>
    </row>
    <row r="50" spans="1:7" x14ac:dyDescent="0.3">
      <c r="A50" s="3" t="s">
        <v>283</v>
      </c>
      <c r="B50" s="43"/>
      <c r="C50" s="43"/>
      <c r="D50" s="43"/>
      <c r="E50" s="43"/>
      <c r="F50" s="43"/>
      <c r="G50" s="43"/>
    </row>
    <row r="51" spans="1:7" x14ac:dyDescent="0.3">
      <c r="A51" s="3" t="s">
        <v>284</v>
      </c>
    </row>
    <row r="52" spans="1:7" x14ac:dyDescent="0.3">
      <c r="B52" s="3" t="s">
        <v>285</v>
      </c>
    </row>
    <row r="53" spans="1:7" x14ac:dyDescent="0.3">
      <c r="B53" s="3" t="s">
        <v>286</v>
      </c>
    </row>
    <row r="54" spans="1:7" x14ac:dyDescent="0.3">
      <c r="B54" s="3" t="s">
        <v>287</v>
      </c>
    </row>
    <row r="55" spans="1:7" x14ac:dyDescent="0.3">
      <c r="A55" s="3" t="s">
        <v>288</v>
      </c>
    </row>
    <row r="56" spans="1:7" x14ac:dyDescent="0.3">
      <c r="A56" s="3" t="s">
        <v>289</v>
      </c>
    </row>
    <row r="57" spans="1:7" x14ac:dyDescent="0.3">
      <c r="A57" s="3" t="s">
        <v>290</v>
      </c>
    </row>
    <row r="59" spans="1:7" x14ac:dyDescent="0.3">
      <c r="A59" s="3" t="s">
        <v>291</v>
      </c>
    </row>
    <row r="60" spans="1:7" x14ac:dyDescent="0.3">
      <c r="A60" s="97" t="s">
        <v>292</v>
      </c>
    </row>
  </sheetData>
  <protectedRanges>
    <protectedRange sqref="F10:G47" name="Диапазон1_2"/>
  </protectedRanges>
  <mergeCells count="28">
    <mergeCell ref="A10:A27"/>
    <mergeCell ref="B12:B13"/>
    <mergeCell ref="D12:D13"/>
    <mergeCell ref="B14:B17"/>
    <mergeCell ref="D14:D15"/>
    <mergeCell ref="D16:D17"/>
    <mergeCell ref="B18:B22"/>
    <mergeCell ref="D18:D20"/>
    <mergeCell ref="D21:D22"/>
    <mergeCell ref="B23:B27"/>
    <mergeCell ref="D23:D25"/>
    <mergeCell ref="D26:D27"/>
    <mergeCell ref="A2:H5"/>
    <mergeCell ref="A6:A7"/>
    <mergeCell ref="B6:B7"/>
    <mergeCell ref="D6:D7"/>
    <mergeCell ref="E6:E7"/>
    <mergeCell ref="A39:A40"/>
    <mergeCell ref="A43:A45"/>
    <mergeCell ref="B43:B45"/>
    <mergeCell ref="D43:D45"/>
    <mergeCell ref="A28:A29"/>
    <mergeCell ref="A31:A38"/>
    <mergeCell ref="B31:B35"/>
    <mergeCell ref="D31:D33"/>
    <mergeCell ref="D34:D35"/>
    <mergeCell ref="B36:B38"/>
    <mergeCell ref="D36:D38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AK51"/>
  <sheetViews>
    <sheetView workbookViewId="0">
      <pane xSplit="2" ySplit="6" topLeftCell="AD7" activePane="bottomRight" state="frozen"/>
      <selection pane="topRight" activeCell="C1" sqref="C1"/>
      <selection pane="bottomLeft" activeCell="A7" sqref="A7"/>
      <selection pane="bottomRight" activeCell="AL5" sqref="AL5"/>
    </sheetView>
  </sheetViews>
  <sheetFormatPr defaultColWidth="9.21875" defaultRowHeight="13.2" outlineLevelRow="1" outlineLevelCol="3" x14ac:dyDescent="0.25"/>
  <cols>
    <col min="1" max="1" width="10" style="2" customWidth="1"/>
    <col min="2" max="2" width="40.21875" style="2" customWidth="1"/>
    <col min="3" max="3" width="7.21875" style="2" hidden="1" customWidth="1" outlineLevel="3"/>
    <col min="4" max="4" width="8.21875" style="2" hidden="1" customWidth="1" outlineLevel="3"/>
    <col min="5" max="5" width="8.6640625" style="2" hidden="1" customWidth="1" outlineLevel="3"/>
    <col min="6" max="6" width="9.6640625" style="2" hidden="1" customWidth="1" outlineLevel="3"/>
    <col min="7" max="13" width="9.21875" style="2" hidden="1" customWidth="1" outlineLevel="3"/>
    <col min="14" max="14" width="8.21875" style="2" hidden="1" customWidth="1" outlineLevel="3"/>
    <col min="15" max="17" width="9.21875" style="2" hidden="1" customWidth="1" outlineLevel="3"/>
    <col min="18" max="18" width="9.44140625" style="2" hidden="1" customWidth="1" outlineLevel="3" collapsed="1"/>
    <col min="19" max="19" width="9.21875" style="2" hidden="1" customWidth="1" outlineLevel="3"/>
    <col min="20" max="20" width="10.33203125" style="2" hidden="1" customWidth="1" outlineLevel="3"/>
    <col min="21" max="21" width="9.88671875" style="2" hidden="1" customWidth="1" outlineLevel="3"/>
    <col min="22" max="22" width="10.5546875" style="2" hidden="1" customWidth="1" outlineLevel="2" collapsed="1"/>
    <col min="23" max="23" width="11.109375" style="2" hidden="1" customWidth="1" outlineLevel="2"/>
    <col min="24" max="24" width="11.21875" style="2" hidden="1" customWidth="1" outlineLevel="2"/>
    <col min="25" max="25" width="9.5546875" style="2" hidden="1" customWidth="1" outlineLevel="2"/>
    <col min="26" max="26" width="9.21875" style="2" hidden="1" customWidth="1" outlineLevel="1" collapsed="1"/>
    <col min="27" max="27" width="9.21875" style="2" hidden="1" customWidth="1" outlineLevel="1"/>
    <col min="28" max="28" width="9.77734375" style="2" hidden="1" customWidth="1" outlineLevel="1"/>
    <col min="29" max="29" width="9.21875" style="2" hidden="1" customWidth="1" outlineLevel="1"/>
    <col min="30" max="30" width="9.21875" style="2" hidden="1" customWidth="1" outlineLevel="1" collapsed="1"/>
    <col min="31" max="31" width="0" style="2" hidden="1" customWidth="1" outlineLevel="1"/>
    <col min="32" max="32" width="10.109375" style="2" hidden="1" customWidth="1" outlineLevel="1"/>
    <col min="33" max="33" width="0" style="2" hidden="1" customWidth="1" outlineLevel="1"/>
    <col min="34" max="34" width="9.21875" style="2" collapsed="1"/>
    <col min="35" max="35" width="9.21875" style="2"/>
    <col min="36" max="36" width="9.44140625" style="2" bestFit="1" customWidth="1"/>
    <col min="37" max="37" width="10" style="2" customWidth="1"/>
    <col min="38" max="245" width="9.21875" style="2"/>
    <col min="246" max="246" width="6.44140625" style="2" customWidth="1"/>
    <col min="247" max="247" width="47.77734375" style="2" customWidth="1"/>
    <col min="248" max="248" width="12.77734375" style="2" customWidth="1"/>
    <col min="249" max="249" width="14.44140625" style="2" customWidth="1"/>
    <col min="250" max="250" width="12.21875" style="2" customWidth="1"/>
    <col min="251" max="252" width="11.77734375" style="2" customWidth="1"/>
    <col min="253" max="501" width="9.21875" style="2"/>
    <col min="502" max="502" width="6.44140625" style="2" customWidth="1"/>
    <col min="503" max="503" width="47.77734375" style="2" customWidth="1"/>
    <col min="504" max="504" width="12.77734375" style="2" customWidth="1"/>
    <col min="505" max="505" width="14.44140625" style="2" customWidth="1"/>
    <col min="506" max="506" width="12.21875" style="2" customWidth="1"/>
    <col min="507" max="508" width="11.77734375" style="2" customWidth="1"/>
    <col min="509" max="757" width="9.21875" style="2"/>
    <col min="758" max="758" width="6.44140625" style="2" customWidth="1"/>
    <col min="759" max="759" width="47.77734375" style="2" customWidth="1"/>
    <col min="760" max="760" width="12.77734375" style="2" customWidth="1"/>
    <col min="761" max="761" width="14.44140625" style="2" customWidth="1"/>
    <col min="762" max="762" width="12.21875" style="2" customWidth="1"/>
    <col min="763" max="764" width="11.77734375" style="2" customWidth="1"/>
    <col min="765" max="1013" width="9.21875" style="2"/>
    <col min="1014" max="1014" width="6.44140625" style="2" customWidth="1"/>
    <col min="1015" max="1015" width="47.77734375" style="2" customWidth="1"/>
    <col min="1016" max="1016" width="12.77734375" style="2" customWidth="1"/>
    <col min="1017" max="1017" width="14.44140625" style="2" customWidth="1"/>
    <col min="1018" max="1018" width="12.21875" style="2" customWidth="1"/>
    <col min="1019" max="1020" width="11.77734375" style="2" customWidth="1"/>
    <col min="1021" max="1269" width="9.21875" style="2"/>
    <col min="1270" max="1270" width="6.44140625" style="2" customWidth="1"/>
    <col min="1271" max="1271" width="47.77734375" style="2" customWidth="1"/>
    <col min="1272" max="1272" width="12.77734375" style="2" customWidth="1"/>
    <col min="1273" max="1273" width="14.44140625" style="2" customWidth="1"/>
    <col min="1274" max="1274" width="12.21875" style="2" customWidth="1"/>
    <col min="1275" max="1276" width="11.77734375" style="2" customWidth="1"/>
    <col min="1277" max="1525" width="9.21875" style="2"/>
    <col min="1526" max="1526" width="6.44140625" style="2" customWidth="1"/>
    <col min="1527" max="1527" width="47.77734375" style="2" customWidth="1"/>
    <col min="1528" max="1528" width="12.77734375" style="2" customWidth="1"/>
    <col min="1529" max="1529" width="14.44140625" style="2" customWidth="1"/>
    <col min="1530" max="1530" width="12.21875" style="2" customWidth="1"/>
    <col min="1531" max="1532" width="11.77734375" style="2" customWidth="1"/>
    <col min="1533" max="1781" width="9.21875" style="2"/>
    <col min="1782" max="1782" width="6.44140625" style="2" customWidth="1"/>
    <col min="1783" max="1783" width="47.77734375" style="2" customWidth="1"/>
    <col min="1784" max="1784" width="12.77734375" style="2" customWidth="1"/>
    <col min="1785" max="1785" width="14.44140625" style="2" customWidth="1"/>
    <col min="1786" max="1786" width="12.21875" style="2" customWidth="1"/>
    <col min="1787" max="1788" width="11.77734375" style="2" customWidth="1"/>
    <col min="1789" max="2037" width="9.21875" style="2"/>
    <col min="2038" max="2038" width="6.44140625" style="2" customWidth="1"/>
    <col min="2039" max="2039" width="47.77734375" style="2" customWidth="1"/>
    <col min="2040" max="2040" width="12.77734375" style="2" customWidth="1"/>
    <col min="2041" max="2041" width="14.44140625" style="2" customWidth="1"/>
    <col min="2042" max="2042" width="12.21875" style="2" customWidth="1"/>
    <col min="2043" max="2044" width="11.77734375" style="2" customWidth="1"/>
    <col min="2045" max="2293" width="9.21875" style="2"/>
    <col min="2294" max="2294" width="6.44140625" style="2" customWidth="1"/>
    <col min="2295" max="2295" width="47.77734375" style="2" customWidth="1"/>
    <col min="2296" max="2296" width="12.77734375" style="2" customWidth="1"/>
    <col min="2297" max="2297" width="14.44140625" style="2" customWidth="1"/>
    <col min="2298" max="2298" width="12.21875" style="2" customWidth="1"/>
    <col min="2299" max="2300" width="11.77734375" style="2" customWidth="1"/>
    <col min="2301" max="2549" width="9.21875" style="2"/>
    <col min="2550" max="2550" width="6.44140625" style="2" customWidth="1"/>
    <col min="2551" max="2551" width="47.77734375" style="2" customWidth="1"/>
    <col min="2552" max="2552" width="12.77734375" style="2" customWidth="1"/>
    <col min="2553" max="2553" width="14.44140625" style="2" customWidth="1"/>
    <col min="2554" max="2554" width="12.21875" style="2" customWidth="1"/>
    <col min="2555" max="2556" width="11.77734375" style="2" customWidth="1"/>
    <col min="2557" max="2805" width="9.21875" style="2"/>
    <col min="2806" max="2806" width="6.44140625" style="2" customWidth="1"/>
    <col min="2807" max="2807" width="47.77734375" style="2" customWidth="1"/>
    <col min="2808" max="2808" width="12.77734375" style="2" customWidth="1"/>
    <col min="2809" max="2809" width="14.44140625" style="2" customWidth="1"/>
    <col min="2810" max="2810" width="12.21875" style="2" customWidth="1"/>
    <col min="2811" max="2812" width="11.77734375" style="2" customWidth="1"/>
    <col min="2813" max="3061" width="9.21875" style="2"/>
    <col min="3062" max="3062" width="6.44140625" style="2" customWidth="1"/>
    <col min="3063" max="3063" width="47.77734375" style="2" customWidth="1"/>
    <col min="3064" max="3064" width="12.77734375" style="2" customWidth="1"/>
    <col min="3065" max="3065" width="14.44140625" style="2" customWidth="1"/>
    <col min="3066" max="3066" width="12.21875" style="2" customWidth="1"/>
    <col min="3067" max="3068" width="11.77734375" style="2" customWidth="1"/>
    <col min="3069" max="3317" width="9.21875" style="2"/>
    <col min="3318" max="3318" width="6.44140625" style="2" customWidth="1"/>
    <col min="3319" max="3319" width="47.77734375" style="2" customWidth="1"/>
    <col min="3320" max="3320" width="12.77734375" style="2" customWidth="1"/>
    <col min="3321" max="3321" width="14.44140625" style="2" customWidth="1"/>
    <col min="3322" max="3322" width="12.21875" style="2" customWidth="1"/>
    <col min="3323" max="3324" width="11.77734375" style="2" customWidth="1"/>
    <col min="3325" max="3573" width="9.21875" style="2"/>
    <col min="3574" max="3574" width="6.44140625" style="2" customWidth="1"/>
    <col min="3575" max="3575" width="47.77734375" style="2" customWidth="1"/>
    <col min="3576" max="3576" width="12.77734375" style="2" customWidth="1"/>
    <col min="3577" max="3577" width="14.44140625" style="2" customWidth="1"/>
    <col min="3578" max="3578" width="12.21875" style="2" customWidth="1"/>
    <col min="3579" max="3580" width="11.77734375" style="2" customWidth="1"/>
    <col min="3581" max="3829" width="9.21875" style="2"/>
    <col min="3830" max="3830" width="6.44140625" style="2" customWidth="1"/>
    <col min="3831" max="3831" width="47.77734375" style="2" customWidth="1"/>
    <col min="3832" max="3832" width="12.77734375" style="2" customWidth="1"/>
    <col min="3833" max="3833" width="14.44140625" style="2" customWidth="1"/>
    <col min="3834" max="3834" width="12.21875" style="2" customWidth="1"/>
    <col min="3835" max="3836" width="11.77734375" style="2" customWidth="1"/>
    <col min="3837" max="4085" width="9.21875" style="2"/>
    <col min="4086" max="4086" width="6.44140625" style="2" customWidth="1"/>
    <col min="4087" max="4087" width="47.77734375" style="2" customWidth="1"/>
    <col min="4088" max="4088" width="12.77734375" style="2" customWidth="1"/>
    <col min="4089" max="4089" width="14.44140625" style="2" customWidth="1"/>
    <col min="4090" max="4090" width="12.21875" style="2" customWidth="1"/>
    <col min="4091" max="4092" width="11.77734375" style="2" customWidth="1"/>
    <col min="4093" max="4341" width="9.21875" style="2"/>
    <col min="4342" max="4342" width="6.44140625" style="2" customWidth="1"/>
    <col min="4343" max="4343" width="47.77734375" style="2" customWidth="1"/>
    <col min="4344" max="4344" width="12.77734375" style="2" customWidth="1"/>
    <col min="4345" max="4345" width="14.44140625" style="2" customWidth="1"/>
    <col min="4346" max="4346" width="12.21875" style="2" customWidth="1"/>
    <col min="4347" max="4348" width="11.77734375" style="2" customWidth="1"/>
    <col min="4349" max="4597" width="9.21875" style="2"/>
    <col min="4598" max="4598" width="6.44140625" style="2" customWidth="1"/>
    <col min="4599" max="4599" width="47.77734375" style="2" customWidth="1"/>
    <col min="4600" max="4600" width="12.77734375" style="2" customWidth="1"/>
    <col min="4601" max="4601" width="14.44140625" style="2" customWidth="1"/>
    <col min="4602" max="4602" width="12.21875" style="2" customWidth="1"/>
    <col min="4603" max="4604" width="11.77734375" style="2" customWidth="1"/>
    <col min="4605" max="4853" width="9.21875" style="2"/>
    <col min="4854" max="4854" width="6.44140625" style="2" customWidth="1"/>
    <col min="4855" max="4855" width="47.77734375" style="2" customWidth="1"/>
    <col min="4856" max="4856" width="12.77734375" style="2" customWidth="1"/>
    <col min="4857" max="4857" width="14.44140625" style="2" customWidth="1"/>
    <col min="4858" max="4858" width="12.21875" style="2" customWidth="1"/>
    <col min="4859" max="4860" width="11.77734375" style="2" customWidth="1"/>
    <col min="4861" max="5109" width="9.21875" style="2"/>
    <col min="5110" max="5110" width="6.44140625" style="2" customWidth="1"/>
    <col min="5111" max="5111" width="47.77734375" style="2" customWidth="1"/>
    <col min="5112" max="5112" width="12.77734375" style="2" customWidth="1"/>
    <col min="5113" max="5113" width="14.44140625" style="2" customWidth="1"/>
    <col min="5114" max="5114" width="12.21875" style="2" customWidth="1"/>
    <col min="5115" max="5116" width="11.77734375" style="2" customWidth="1"/>
    <col min="5117" max="5365" width="9.21875" style="2"/>
    <col min="5366" max="5366" width="6.44140625" style="2" customWidth="1"/>
    <col min="5367" max="5367" width="47.77734375" style="2" customWidth="1"/>
    <col min="5368" max="5368" width="12.77734375" style="2" customWidth="1"/>
    <col min="5369" max="5369" width="14.44140625" style="2" customWidth="1"/>
    <col min="5370" max="5370" width="12.21875" style="2" customWidth="1"/>
    <col min="5371" max="5372" width="11.77734375" style="2" customWidth="1"/>
    <col min="5373" max="5621" width="9.21875" style="2"/>
    <col min="5622" max="5622" width="6.44140625" style="2" customWidth="1"/>
    <col min="5623" max="5623" width="47.77734375" style="2" customWidth="1"/>
    <col min="5624" max="5624" width="12.77734375" style="2" customWidth="1"/>
    <col min="5625" max="5625" width="14.44140625" style="2" customWidth="1"/>
    <col min="5626" max="5626" width="12.21875" style="2" customWidth="1"/>
    <col min="5627" max="5628" width="11.77734375" style="2" customWidth="1"/>
    <col min="5629" max="5877" width="9.21875" style="2"/>
    <col min="5878" max="5878" width="6.44140625" style="2" customWidth="1"/>
    <col min="5879" max="5879" width="47.77734375" style="2" customWidth="1"/>
    <col min="5880" max="5880" width="12.77734375" style="2" customWidth="1"/>
    <col min="5881" max="5881" width="14.44140625" style="2" customWidth="1"/>
    <col min="5882" max="5882" width="12.21875" style="2" customWidth="1"/>
    <col min="5883" max="5884" width="11.77734375" style="2" customWidth="1"/>
    <col min="5885" max="6133" width="9.21875" style="2"/>
    <col min="6134" max="6134" width="6.44140625" style="2" customWidth="1"/>
    <col min="6135" max="6135" width="47.77734375" style="2" customWidth="1"/>
    <col min="6136" max="6136" width="12.77734375" style="2" customWidth="1"/>
    <col min="6137" max="6137" width="14.44140625" style="2" customWidth="1"/>
    <col min="6138" max="6138" width="12.21875" style="2" customWidth="1"/>
    <col min="6139" max="6140" width="11.77734375" style="2" customWidth="1"/>
    <col min="6141" max="6389" width="9.21875" style="2"/>
    <col min="6390" max="6390" width="6.44140625" style="2" customWidth="1"/>
    <col min="6391" max="6391" width="47.77734375" style="2" customWidth="1"/>
    <col min="6392" max="6392" width="12.77734375" style="2" customWidth="1"/>
    <col min="6393" max="6393" width="14.44140625" style="2" customWidth="1"/>
    <col min="6394" max="6394" width="12.21875" style="2" customWidth="1"/>
    <col min="6395" max="6396" width="11.77734375" style="2" customWidth="1"/>
    <col min="6397" max="6645" width="9.21875" style="2"/>
    <col min="6646" max="6646" width="6.44140625" style="2" customWidth="1"/>
    <col min="6647" max="6647" width="47.77734375" style="2" customWidth="1"/>
    <col min="6648" max="6648" width="12.77734375" style="2" customWidth="1"/>
    <col min="6649" max="6649" width="14.44140625" style="2" customWidth="1"/>
    <col min="6650" max="6650" width="12.21875" style="2" customWidth="1"/>
    <col min="6651" max="6652" width="11.77734375" style="2" customWidth="1"/>
    <col min="6653" max="6901" width="9.21875" style="2"/>
    <col min="6902" max="6902" width="6.44140625" style="2" customWidth="1"/>
    <col min="6903" max="6903" width="47.77734375" style="2" customWidth="1"/>
    <col min="6904" max="6904" width="12.77734375" style="2" customWidth="1"/>
    <col min="6905" max="6905" width="14.44140625" style="2" customWidth="1"/>
    <col min="6906" max="6906" width="12.21875" style="2" customWidth="1"/>
    <col min="6907" max="6908" width="11.77734375" style="2" customWidth="1"/>
    <col min="6909" max="7157" width="9.21875" style="2"/>
    <col min="7158" max="7158" width="6.44140625" style="2" customWidth="1"/>
    <col min="7159" max="7159" width="47.77734375" style="2" customWidth="1"/>
    <col min="7160" max="7160" width="12.77734375" style="2" customWidth="1"/>
    <col min="7161" max="7161" width="14.44140625" style="2" customWidth="1"/>
    <col min="7162" max="7162" width="12.21875" style="2" customWidth="1"/>
    <col min="7163" max="7164" width="11.77734375" style="2" customWidth="1"/>
    <col min="7165" max="7413" width="9.21875" style="2"/>
    <col min="7414" max="7414" width="6.44140625" style="2" customWidth="1"/>
    <col min="7415" max="7415" width="47.77734375" style="2" customWidth="1"/>
    <col min="7416" max="7416" width="12.77734375" style="2" customWidth="1"/>
    <col min="7417" max="7417" width="14.44140625" style="2" customWidth="1"/>
    <col min="7418" max="7418" width="12.21875" style="2" customWidth="1"/>
    <col min="7419" max="7420" width="11.77734375" style="2" customWidth="1"/>
    <col min="7421" max="7669" width="9.21875" style="2"/>
    <col min="7670" max="7670" width="6.44140625" style="2" customWidth="1"/>
    <col min="7671" max="7671" width="47.77734375" style="2" customWidth="1"/>
    <col min="7672" max="7672" width="12.77734375" style="2" customWidth="1"/>
    <col min="7673" max="7673" width="14.44140625" style="2" customWidth="1"/>
    <col min="7674" max="7674" width="12.21875" style="2" customWidth="1"/>
    <col min="7675" max="7676" width="11.77734375" style="2" customWidth="1"/>
    <col min="7677" max="7925" width="9.21875" style="2"/>
    <col min="7926" max="7926" width="6.44140625" style="2" customWidth="1"/>
    <col min="7927" max="7927" width="47.77734375" style="2" customWidth="1"/>
    <col min="7928" max="7928" width="12.77734375" style="2" customWidth="1"/>
    <col min="7929" max="7929" width="14.44140625" style="2" customWidth="1"/>
    <col min="7930" max="7930" width="12.21875" style="2" customWidth="1"/>
    <col min="7931" max="7932" width="11.77734375" style="2" customWidth="1"/>
    <col min="7933" max="8181" width="9.21875" style="2"/>
    <col min="8182" max="8182" width="6.44140625" style="2" customWidth="1"/>
    <col min="8183" max="8183" width="47.77734375" style="2" customWidth="1"/>
    <col min="8184" max="8184" width="12.77734375" style="2" customWidth="1"/>
    <col min="8185" max="8185" width="14.44140625" style="2" customWidth="1"/>
    <col min="8186" max="8186" width="12.21875" style="2" customWidth="1"/>
    <col min="8187" max="8188" width="11.77734375" style="2" customWidth="1"/>
    <col min="8189" max="8437" width="9.21875" style="2"/>
    <col min="8438" max="8438" width="6.44140625" style="2" customWidth="1"/>
    <col min="8439" max="8439" width="47.77734375" style="2" customWidth="1"/>
    <col min="8440" max="8440" width="12.77734375" style="2" customWidth="1"/>
    <col min="8441" max="8441" width="14.44140625" style="2" customWidth="1"/>
    <col min="8442" max="8442" width="12.21875" style="2" customWidth="1"/>
    <col min="8443" max="8444" width="11.77734375" style="2" customWidth="1"/>
    <col min="8445" max="8693" width="9.21875" style="2"/>
    <col min="8694" max="8694" width="6.44140625" style="2" customWidth="1"/>
    <col min="8695" max="8695" width="47.77734375" style="2" customWidth="1"/>
    <col min="8696" max="8696" width="12.77734375" style="2" customWidth="1"/>
    <col min="8697" max="8697" width="14.44140625" style="2" customWidth="1"/>
    <col min="8698" max="8698" width="12.21875" style="2" customWidth="1"/>
    <col min="8699" max="8700" width="11.77734375" style="2" customWidth="1"/>
    <col min="8701" max="8949" width="9.21875" style="2"/>
    <col min="8950" max="8950" width="6.44140625" style="2" customWidth="1"/>
    <col min="8951" max="8951" width="47.77734375" style="2" customWidth="1"/>
    <col min="8952" max="8952" width="12.77734375" style="2" customWidth="1"/>
    <col min="8953" max="8953" width="14.44140625" style="2" customWidth="1"/>
    <col min="8954" max="8954" width="12.21875" style="2" customWidth="1"/>
    <col min="8955" max="8956" width="11.77734375" style="2" customWidth="1"/>
    <col min="8957" max="9205" width="9.21875" style="2"/>
    <col min="9206" max="9206" width="6.44140625" style="2" customWidth="1"/>
    <col min="9207" max="9207" width="47.77734375" style="2" customWidth="1"/>
    <col min="9208" max="9208" width="12.77734375" style="2" customWidth="1"/>
    <col min="9209" max="9209" width="14.44140625" style="2" customWidth="1"/>
    <col min="9210" max="9210" width="12.21875" style="2" customWidth="1"/>
    <col min="9211" max="9212" width="11.77734375" style="2" customWidth="1"/>
    <col min="9213" max="9461" width="9.21875" style="2"/>
    <col min="9462" max="9462" width="6.44140625" style="2" customWidth="1"/>
    <col min="9463" max="9463" width="47.77734375" style="2" customWidth="1"/>
    <col min="9464" max="9464" width="12.77734375" style="2" customWidth="1"/>
    <col min="9465" max="9465" width="14.44140625" style="2" customWidth="1"/>
    <col min="9466" max="9466" width="12.21875" style="2" customWidth="1"/>
    <col min="9467" max="9468" width="11.77734375" style="2" customWidth="1"/>
    <col min="9469" max="9717" width="9.21875" style="2"/>
    <col min="9718" max="9718" width="6.44140625" style="2" customWidth="1"/>
    <col min="9719" max="9719" width="47.77734375" style="2" customWidth="1"/>
    <col min="9720" max="9720" width="12.77734375" style="2" customWidth="1"/>
    <col min="9721" max="9721" width="14.44140625" style="2" customWidth="1"/>
    <col min="9722" max="9722" width="12.21875" style="2" customWidth="1"/>
    <col min="9723" max="9724" width="11.77734375" style="2" customWidth="1"/>
    <col min="9725" max="9973" width="9.21875" style="2"/>
    <col min="9974" max="9974" width="6.44140625" style="2" customWidth="1"/>
    <col min="9975" max="9975" width="47.77734375" style="2" customWidth="1"/>
    <col min="9976" max="9976" width="12.77734375" style="2" customWidth="1"/>
    <col min="9977" max="9977" width="14.44140625" style="2" customWidth="1"/>
    <col min="9978" max="9978" width="12.21875" style="2" customWidth="1"/>
    <col min="9979" max="9980" width="11.77734375" style="2" customWidth="1"/>
    <col min="9981" max="10229" width="9.21875" style="2"/>
    <col min="10230" max="10230" width="6.44140625" style="2" customWidth="1"/>
    <col min="10231" max="10231" width="47.77734375" style="2" customWidth="1"/>
    <col min="10232" max="10232" width="12.77734375" style="2" customWidth="1"/>
    <col min="10233" max="10233" width="14.44140625" style="2" customWidth="1"/>
    <col min="10234" max="10234" width="12.21875" style="2" customWidth="1"/>
    <col min="10235" max="10236" width="11.77734375" style="2" customWidth="1"/>
    <col min="10237" max="10485" width="9.21875" style="2"/>
    <col min="10486" max="10486" width="6.44140625" style="2" customWidth="1"/>
    <col min="10487" max="10487" width="47.77734375" style="2" customWidth="1"/>
    <col min="10488" max="10488" width="12.77734375" style="2" customWidth="1"/>
    <col min="10489" max="10489" width="14.44140625" style="2" customWidth="1"/>
    <col min="10490" max="10490" width="12.21875" style="2" customWidth="1"/>
    <col min="10491" max="10492" width="11.77734375" style="2" customWidth="1"/>
    <col min="10493" max="10741" width="9.21875" style="2"/>
    <col min="10742" max="10742" width="6.44140625" style="2" customWidth="1"/>
    <col min="10743" max="10743" width="47.77734375" style="2" customWidth="1"/>
    <col min="10744" max="10744" width="12.77734375" style="2" customWidth="1"/>
    <col min="10745" max="10745" width="14.44140625" style="2" customWidth="1"/>
    <col min="10746" max="10746" width="12.21875" style="2" customWidth="1"/>
    <col min="10747" max="10748" width="11.77734375" style="2" customWidth="1"/>
    <col min="10749" max="10997" width="9.21875" style="2"/>
    <col min="10998" max="10998" width="6.44140625" style="2" customWidth="1"/>
    <col min="10999" max="10999" width="47.77734375" style="2" customWidth="1"/>
    <col min="11000" max="11000" width="12.77734375" style="2" customWidth="1"/>
    <col min="11001" max="11001" width="14.44140625" style="2" customWidth="1"/>
    <col min="11002" max="11002" width="12.21875" style="2" customWidth="1"/>
    <col min="11003" max="11004" width="11.77734375" style="2" customWidth="1"/>
    <col min="11005" max="11253" width="9.21875" style="2"/>
    <col min="11254" max="11254" width="6.44140625" style="2" customWidth="1"/>
    <col min="11255" max="11255" width="47.77734375" style="2" customWidth="1"/>
    <col min="11256" max="11256" width="12.77734375" style="2" customWidth="1"/>
    <col min="11257" max="11257" width="14.44140625" style="2" customWidth="1"/>
    <col min="11258" max="11258" width="12.21875" style="2" customWidth="1"/>
    <col min="11259" max="11260" width="11.77734375" style="2" customWidth="1"/>
    <col min="11261" max="11509" width="9.21875" style="2"/>
    <col min="11510" max="11510" width="6.44140625" style="2" customWidth="1"/>
    <col min="11511" max="11511" width="47.77734375" style="2" customWidth="1"/>
    <col min="11512" max="11512" width="12.77734375" style="2" customWidth="1"/>
    <col min="11513" max="11513" width="14.44140625" style="2" customWidth="1"/>
    <col min="11514" max="11514" width="12.21875" style="2" customWidth="1"/>
    <col min="11515" max="11516" width="11.77734375" style="2" customWidth="1"/>
    <col min="11517" max="11765" width="9.21875" style="2"/>
    <col min="11766" max="11766" width="6.44140625" style="2" customWidth="1"/>
    <col min="11767" max="11767" width="47.77734375" style="2" customWidth="1"/>
    <col min="11768" max="11768" width="12.77734375" style="2" customWidth="1"/>
    <col min="11769" max="11769" width="14.44140625" style="2" customWidth="1"/>
    <col min="11770" max="11770" width="12.21875" style="2" customWidth="1"/>
    <col min="11771" max="11772" width="11.77734375" style="2" customWidth="1"/>
    <col min="11773" max="12021" width="9.21875" style="2"/>
    <col min="12022" max="12022" width="6.44140625" style="2" customWidth="1"/>
    <col min="12023" max="12023" width="47.77734375" style="2" customWidth="1"/>
    <col min="12024" max="12024" width="12.77734375" style="2" customWidth="1"/>
    <col min="12025" max="12025" width="14.44140625" style="2" customWidth="1"/>
    <col min="12026" max="12026" width="12.21875" style="2" customWidth="1"/>
    <col min="12027" max="12028" width="11.77734375" style="2" customWidth="1"/>
    <col min="12029" max="12277" width="9.21875" style="2"/>
    <col min="12278" max="12278" width="6.44140625" style="2" customWidth="1"/>
    <col min="12279" max="12279" width="47.77734375" style="2" customWidth="1"/>
    <col min="12280" max="12280" width="12.77734375" style="2" customWidth="1"/>
    <col min="12281" max="12281" width="14.44140625" style="2" customWidth="1"/>
    <col min="12282" max="12282" width="12.21875" style="2" customWidth="1"/>
    <col min="12283" max="12284" width="11.77734375" style="2" customWidth="1"/>
    <col min="12285" max="12533" width="9.21875" style="2"/>
    <col min="12534" max="12534" width="6.44140625" style="2" customWidth="1"/>
    <col min="12535" max="12535" width="47.77734375" style="2" customWidth="1"/>
    <col min="12536" max="12536" width="12.77734375" style="2" customWidth="1"/>
    <col min="12537" max="12537" width="14.44140625" style="2" customWidth="1"/>
    <col min="12538" max="12538" width="12.21875" style="2" customWidth="1"/>
    <col min="12539" max="12540" width="11.77734375" style="2" customWidth="1"/>
    <col min="12541" max="12789" width="9.21875" style="2"/>
    <col min="12790" max="12790" width="6.44140625" style="2" customWidth="1"/>
    <col min="12791" max="12791" width="47.77734375" style="2" customWidth="1"/>
    <col min="12792" max="12792" width="12.77734375" style="2" customWidth="1"/>
    <col min="12793" max="12793" width="14.44140625" style="2" customWidth="1"/>
    <col min="12794" max="12794" width="12.21875" style="2" customWidth="1"/>
    <col min="12795" max="12796" width="11.77734375" style="2" customWidth="1"/>
    <col min="12797" max="13045" width="9.21875" style="2"/>
    <col min="13046" max="13046" width="6.44140625" style="2" customWidth="1"/>
    <col min="13047" max="13047" width="47.77734375" style="2" customWidth="1"/>
    <col min="13048" max="13048" width="12.77734375" style="2" customWidth="1"/>
    <col min="13049" max="13049" width="14.44140625" style="2" customWidth="1"/>
    <col min="13050" max="13050" width="12.21875" style="2" customWidth="1"/>
    <col min="13051" max="13052" width="11.77734375" style="2" customWidth="1"/>
    <col min="13053" max="13301" width="9.21875" style="2"/>
    <col min="13302" max="13302" width="6.44140625" style="2" customWidth="1"/>
    <col min="13303" max="13303" width="47.77734375" style="2" customWidth="1"/>
    <col min="13304" max="13304" width="12.77734375" style="2" customWidth="1"/>
    <col min="13305" max="13305" width="14.44140625" style="2" customWidth="1"/>
    <col min="13306" max="13306" width="12.21875" style="2" customWidth="1"/>
    <col min="13307" max="13308" width="11.77734375" style="2" customWidth="1"/>
    <col min="13309" max="13557" width="9.21875" style="2"/>
    <col min="13558" max="13558" width="6.44140625" style="2" customWidth="1"/>
    <col min="13559" max="13559" width="47.77734375" style="2" customWidth="1"/>
    <col min="13560" max="13560" width="12.77734375" style="2" customWidth="1"/>
    <col min="13561" max="13561" width="14.44140625" style="2" customWidth="1"/>
    <col min="13562" max="13562" width="12.21875" style="2" customWidth="1"/>
    <col min="13563" max="13564" width="11.77734375" style="2" customWidth="1"/>
    <col min="13565" max="13813" width="9.21875" style="2"/>
    <col min="13814" max="13814" width="6.44140625" style="2" customWidth="1"/>
    <col min="13815" max="13815" width="47.77734375" style="2" customWidth="1"/>
    <col min="13816" max="13816" width="12.77734375" style="2" customWidth="1"/>
    <col min="13817" max="13817" width="14.44140625" style="2" customWidth="1"/>
    <col min="13818" max="13818" width="12.21875" style="2" customWidth="1"/>
    <col min="13819" max="13820" width="11.77734375" style="2" customWidth="1"/>
    <col min="13821" max="14069" width="9.21875" style="2"/>
    <col min="14070" max="14070" width="6.44140625" style="2" customWidth="1"/>
    <col min="14071" max="14071" width="47.77734375" style="2" customWidth="1"/>
    <col min="14072" max="14072" width="12.77734375" style="2" customWidth="1"/>
    <col min="14073" max="14073" width="14.44140625" style="2" customWidth="1"/>
    <col min="14074" max="14074" width="12.21875" style="2" customWidth="1"/>
    <col min="14075" max="14076" width="11.77734375" style="2" customWidth="1"/>
    <col min="14077" max="14325" width="9.21875" style="2"/>
    <col min="14326" max="14326" width="6.44140625" style="2" customWidth="1"/>
    <col min="14327" max="14327" width="47.77734375" style="2" customWidth="1"/>
    <col min="14328" max="14328" width="12.77734375" style="2" customWidth="1"/>
    <col min="14329" max="14329" width="14.44140625" style="2" customWidth="1"/>
    <col min="14330" max="14330" width="12.21875" style="2" customWidth="1"/>
    <col min="14331" max="14332" width="11.77734375" style="2" customWidth="1"/>
    <col min="14333" max="14581" width="9.21875" style="2"/>
    <col min="14582" max="14582" width="6.44140625" style="2" customWidth="1"/>
    <col min="14583" max="14583" width="47.77734375" style="2" customWidth="1"/>
    <col min="14584" max="14584" width="12.77734375" style="2" customWidth="1"/>
    <col min="14585" max="14585" width="14.44140625" style="2" customWidth="1"/>
    <col min="14586" max="14586" width="12.21875" style="2" customWidth="1"/>
    <col min="14587" max="14588" width="11.77734375" style="2" customWidth="1"/>
    <col min="14589" max="14837" width="9.21875" style="2"/>
    <col min="14838" max="14838" width="6.44140625" style="2" customWidth="1"/>
    <col min="14839" max="14839" width="47.77734375" style="2" customWidth="1"/>
    <col min="14840" max="14840" width="12.77734375" style="2" customWidth="1"/>
    <col min="14841" max="14841" width="14.44140625" style="2" customWidth="1"/>
    <col min="14842" max="14842" width="12.21875" style="2" customWidth="1"/>
    <col min="14843" max="14844" width="11.77734375" style="2" customWidth="1"/>
    <col min="14845" max="15093" width="9.21875" style="2"/>
    <col min="15094" max="15094" width="6.44140625" style="2" customWidth="1"/>
    <col min="15095" max="15095" width="47.77734375" style="2" customWidth="1"/>
    <col min="15096" max="15096" width="12.77734375" style="2" customWidth="1"/>
    <col min="15097" max="15097" width="14.44140625" style="2" customWidth="1"/>
    <col min="15098" max="15098" width="12.21875" style="2" customWidth="1"/>
    <col min="15099" max="15100" width="11.77734375" style="2" customWidth="1"/>
    <col min="15101" max="15349" width="9.21875" style="2"/>
    <col min="15350" max="15350" width="6.44140625" style="2" customWidth="1"/>
    <col min="15351" max="15351" width="47.77734375" style="2" customWidth="1"/>
    <col min="15352" max="15352" width="12.77734375" style="2" customWidth="1"/>
    <col min="15353" max="15353" width="14.44140625" style="2" customWidth="1"/>
    <col min="15354" max="15354" width="12.21875" style="2" customWidth="1"/>
    <col min="15355" max="15356" width="11.77734375" style="2" customWidth="1"/>
    <col min="15357" max="15605" width="9.21875" style="2"/>
    <col min="15606" max="15606" width="6.44140625" style="2" customWidth="1"/>
    <col min="15607" max="15607" width="47.77734375" style="2" customWidth="1"/>
    <col min="15608" max="15608" width="12.77734375" style="2" customWidth="1"/>
    <col min="15609" max="15609" width="14.44140625" style="2" customWidth="1"/>
    <col min="15610" max="15610" width="12.21875" style="2" customWidth="1"/>
    <col min="15611" max="15612" width="11.77734375" style="2" customWidth="1"/>
    <col min="15613" max="15861" width="9.21875" style="2"/>
    <col min="15862" max="15862" width="6.44140625" style="2" customWidth="1"/>
    <col min="15863" max="15863" width="47.77734375" style="2" customWidth="1"/>
    <col min="15864" max="15864" width="12.77734375" style="2" customWidth="1"/>
    <col min="15865" max="15865" width="14.44140625" style="2" customWidth="1"/>
    <col min="15866" max="15866" width="12.21875" style="2" customWidth="1"/>
    <col min="15867" max="15868" width="11.77734375" style="2" customWidth="1"/>
    <col min="15869" max="16117" width="9.21875" style="2"/>
    <col min="16118" max="16118" width="6.44140625" style="2" customWidth="1"/>
    <col min="16119" max="16119" width="47.77734375" style="2" customWidth="1"/>
    <col min="16120" max="16120" width="12.77734375" style="2" customWidth="1"/>
    <col min="16121" max="16121" width="14.44140625" style="2" customWidth="1"/>
    <col min="16122" max="16122" width="12.21875" style="2" customWidth="1"/>
    <col min="16123" max="16124" width="11.77734375" style="2" customWidth="1"/>
    <col min="16125" max="16384" width="9.21875" style="2"/>
  </cols>
  <sheetData>
    <row r="1" spans="1:37" x14ac:dyDescent="0.25">
      <c r="A1" s="54"/>
      <c r="B1" s="54"/>
    </row>
    <row r="2" spans="1:37" ht="24.45" customHeight="1" x14ac:dyDescent="0.25">
      <c r="A2" s="157" t="s">
        <v>151</v>
      </c>
      <c r="B2" s="157"/>
      <c r="C2" s="157"/>
      <c r="D2" s="115"/>
      <c r="E2" s="115"/>
    </row>
    <row r="3" spans="1:37" x14ac:dyDescent="0.25">
      <c r="A3" s="54"/>
      <c r="B3" s="54"/>
    </row>
    <row r="4" spans="1:37" ht="23.55" customHeight="1" x14ac:dyDescent="0.25">
      <c r="A4" s="158" t="s">
        <v>85</v>
      </c>
      <c r="B4" s="158" t="s">
        <v>89</v>
      </c>
      <c r="C4" s="53" t="s">
        <v>164</v>
      </c>
      <c r="D4" s="116" t="s">
        <v>152</v>
      </c>
      <c r="E4" s="55" t="s">
        <v>152</v>
      </c>
      <c r="F4" s="152" t="s">
        <v>275</v>
      </c>
      <c r="G4" s="153"/>
      <c r="H4" s="155" t="s">
        <v>272</v>
      </c>
      <c r="I4" s="155" t="s">
        <v>273</v>
      </c>
      <c r="J4" s="152" t="s">
        <v>274</v>
      </c>
      <c r="K4" s="153"/>
      <c r="L4" s="155" t="s">
        <v>276</v>
      </c>
      <c r="M4" s="155" t="s">
        <v>273</v>
      </c>
      <c r="N4" s="152" t="s">
        <v>277</v>
      </c>
      <c r="O4" s="153"/>
      <c r="P4" s="154" t="s">
        <v>304</v>
      </c>
      <c r="Q4" s="155" t="s">
        <v>273</v>
      </c>
      <c r="R4" s="152" t="s">
        <v>305</v>
      </c>
      <c r="S4" s="153"/>
      <c r="T4" s="154" t="s">
        <v>306</v>
      </c>
      <c r="U4" s="155" t="s">
        <v>273</v>
      </c>
      <c r="V4" s="152" t="s">
        <v>307</v>
      </c>
      <c r="W4" s="153"/>
      <c r="X4" s="154" t="s">
        <v>308</v>
      </c>
      <c r="Y4" s="155" t="s">
        <v>273</v>
      </c>
      <c r="Z4" s="152" t="s">
        <v>309</v>
      </c>
      <c r="AA4" s="153"/>
      <c r="AB4" s="154" t="s">
        <v>310</v>
      </c>
      <c r="AC4" s="155" t="s">
        <v>273</v>
      </c>
      <c r="AD4" s="152" t="s">
        <v>324</v>
      </c>
      <c r="AE4" s="153"/>
      <c r="AF4" s="154" t="s">
        <v>325</v>
      </c>
      <c r="AG4" s="155" t="s">
        <v>273</v>
      </c>
      <c r="AH4" s="152" t="s">
        <v>329</v>
      </c>
      <c r="AI4" s="153"/>
      <c r="AJ4" s="154" t="s">
        <v>330</v>
      </c>
      <c r="AK4" s="155" t="s">
        <v>273</v>
      </c>
    </row>
    <row r="5" spans="1:37" ht="52.8" x14ac:dyDescent="0.25">
      <c r="A5" s="159"/>
      <c r="B5" s="159"/>
      <c r="C5" s="116" t="s">
        <v>163</v>
      </c>
      <c r="D5" s="116" t="s">
        <v>165</v>
      </c>
      <c r="E5" s="55" t="s">
        <v>169</v>
      </c>
      <c r="F5" s="116" t="s">
        <v>152</v>
      </c>
      <c r="G5" s="53" t="s">
        <v>164</v>
      </c>
      <c r="H5" s="156"/>
      <c r="I5" s="156"/>
      <c r="J5" s="116" t="s">
        <v>152</v>
      </c>
      <c r="K5" s="53" t="s">
        <v>164</v>
      </c>
      <c r="L5" s="156"/>
      <c r="M5" s="156"/>
      <c r="N5" s="116" t="s">
        <v>152</v>
      </c>
      <c r="O5" s="53" t="s">
        <v>164</v>
      </c>
      <c r="P5" s="154"/>
      <c r="Q5" s="156"/>
      <c r="R5" s="116" t="s">
        <v>152</v>
      </c>
      <c r="S5" s="53" t="s">
        <v>164</v>
      </c>
      <c r="T5" s="154"/>
      <c r="U5" s="156"/>
      <c r="V5" s="116" t="s">
        <v>152</v>
      </c>
      <c r="W5" s="53" t="s">
        <v>164</v>
      </c>
      <c r="X5" s="154"/>
      <c r="Y5" s="156"/>
      <c r="Z5" s="116" t="s">
        <v>152</v>
      </c>
      <c r="AA5" s="53" t="s">
        <v>164</v>
      </c>
      <c r="AB5" s="154"/>
      <c r="AC5" s="156"/>
      <c r="AD5" s="116" t="s">
        <v>152</v>
      </c>
      <c r="AE5" s="53" t="s">
        <v>164</v>
      </c>
      <c r="AF5" s="154"/>
      <c r="AG5" s="156"/>
      <c r="AH5" s="118" t="s">
        <v>152</v>
      </c>
      <c r="AI5" s="53" t="s">
        <v>164</v>
      </c>
      <c r="AJ5" s="154"/>
      <c r="AK5" s="156"/>
    </row>
    <row r="6" spans="1:37" x14ac:dyDescent="0.25">
      <c r="A6" s="79">
        <v>1</v>
      </c>
      <c r="B6" s="79">
        <v>2</v>
      </c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6"/>
      <c r="AE6" s="46"/>
      <c r="AF6" s="46"/>
      <c r="AG6" s="46"/>
      <c r="AH6" s="46"/>
      <c r="AI6" s="46"/>
      <c r="AJ6" s="46"/>
      <c r="AK6" s="46"/>
    </row>
    <row r="7" spans="1:37" outlineLevel="1" x14ac:dyDescent="0.25">
      <c r="A7" s="22" t="s">
        <v>1</v>
      </c>
      <c r="B7" s="56" t="s">
        <v>98</v>
      </c>
      <c r="C7" s="47">
        <v>1217.0317736555569</v>
      </c>
      <c r="D7" s="47">
        <v>2025.5</v>
      </c>
      <c r="E7" s="47">
        <f>D7-C7</f>
        <v>808.46822634444311</v>
      </c>
      <c r="F7" s="47">
        <v>2879</v>
      </c>
      <c r="G7" s="47">
        <v>2057.25</v>
      </c>
      <c r="H7" s="47">
        <v>2051.5500000000002</v>
      </c>
      <c r="I7" s="47">
        <f>H7-G7</f>
        <v>-5.6999999999998181</v>
      </c>
      <c r="J7" s="46">
        <v>4119.97</v>
      </c>
      <c r="K7" s="46">
        <v>2216.44</v>
      </c>
      <c r="L7" s="46">
        <v>1846.34</v>
      </c>
      <c r="M7" s="47">
        <f>L7-K7</f>
        <v>-370.10000000000014</v>
      </c>
      <c r="N7" s="46">
        <v>4621.03</v>
      </c>
      <c r="O7" s="46">
        <v>2297.41</v>
      </c>
      <c r="P7" s="46">
        <v>968.28</v>
      </c>
      <c r="Q7" s="46">
        <f>P7-O7</f>
        <v>-1329.1299999999999</v>
      </c>
      <c r="R7" s="46">
        <v>3836.46</v>
      </c>
      <c r="S7" s="46">
        <v>3284.31</v>
      </c>
      <c r="T7" s="46">
        <v>1396.73</v>
      </c>
      <c r="U7" s="46">
        <f>T7-S7</f>
        <v>-1887.58</v>
      </c>
      <c r="V7" s="46">
        <v>3279.05</v>
      </c>
      <c r="W7" s="46">
        <v>3440.87</v>
      </c>
      <c r="X7" s="46">
        <v>3638.98</v>
      </c>
      <c r="Y7" s="46">
        <f>X7-W7</f>
        <v>198.11000000000013</v>
      </c>
      <c r="Z7" s="46">
        <v>3273.8</v>
      </c>
      <c r="AA7" s="46">
        <v>3404.96</v>
      </c>
      <c r="AB7" s="46">
        <v>8680.59</v>
      </c>
      <c r="AC7" s="46">
        <f>AB7-AA7</f>
        <v>5275.63</v>
      </c>
      <c r="AD7" s="46">
        <v>3268.57</v>
      </c>
      <c r="AE7" s="46">
        <v>3386.44</v>
      </c>
      <c r="AF7" s="46">
        <v>7466.27</v>
      </c>
      <c r="AG7" s="46">
        <f>AF7-AE7</f>
        <v>4079.8300000000004</v>
      </c>
      <c r="AH7" s="46">
        <v>3263.34</v>
      </c>
      <c r="AI7" s="46">
        <v>3390.78</v>
      </c>
      <c r="AJ7" s="46">
        <v>8958.74</v>
      </c>
      <c r="AK7" s="46">
        <f>AJ7-AI7</f>
        <v>5567.9599999999991</v>
      </c>
    </row>
    <row r="8" spans="1:37" outlineLevel="1" x14ac:dyDescent="0.25">
      <c r="A8" s="22" t="s">
        <v>2</v>
      </c>
      <c r="B8" s="56" t="s">
        <v>153</v>
      </c>
      <c r="C8" s="48">
        <v>2069.4876643642392</v>
      </c>
      <c r="D8" s="48">
        <v>1814.3</v>
      </c>
      <c r="E8" s="47">
        <f t="shared" ref="E8:E45" si="0">D8-C8</f>
        <v>-255.18766436423925</v>
      </c>
      <c r="F8" s="47">
        <v>3577</v>
      </c>
      <c r="G8" s="47">
        <v>2154.38</v>
      </c>
      <c r="H8" s="47">
        <v>2271.4499999999998</v>
      </c>
      <c r="I8" s="47">
        <f t="shared" ref="I8:I47" si="1">H8-G8</f>
        <v>117.06999999999971</v>
      </c>
      <c r="J8" s="46">
        <v>5391.1</v>
      </c>
      <c r="K8" s="46">
        <v>2321.08</v>
      </c>
      <c r="L8" s="46">
        <v>3691.38</v>
      </c>
      <c r="M8" s="47">
        <f t="shared" ref="M8:M38" si="2">L8-K8</f>
        <v>1370.3000000000002</v>
      </c>
      <c r="N8" s="46">
        <v>2897.8</v>
      </c>
      <c r="O8" s="46">
        <v>2405.87</v>
      </c>
      <c r="P8" s="46">
        <v>3092.23</v>
      </c>
      <c r="Q8" s="46">
        <f>P8-O8</f>
        <v>686.36000000000013</v>
      </c>
      <c r="R8" s="46">
        <v>7375.51</v>
      </c>
      <c r="S8" s="46">
        <v>3907.19</v>
      </c>
      <c r="T8" s="46">
        <v>3270.65</v>
      </c>
      <c r="U8" s="46">
        <f>T8-S8</f>
        <v>-636.54</v>
      </c>
      <c r="V8" s="46">
        <v>3900.94</v>
      </c>
      <c r="W8" s="46">
        <v>4093.45</v>
      </c>
      <c r="X8" s="46">
        <v>4147.26</v>
      </c>
      <c r="Y8" s="46">
        <f>X8-W8</f>
        <v>53.8100000000004</v>
      </c>
      <c r="Z8" s="46">
        <v>3894.7</v>
      </c>
      <c r="AA8" s="46">
        <v>4050.74</v>
      </c>
      <c r="AB8" s="46">
        <v>5645.72</v>
      </c>
      <c r="AC8" s="46">
        <f>AB8-AA8</f>
        <v>1594.9800000000005</v>
      </c>
      <c r="AD8" s="46">
        <v>3888.47</v>
      </c>
      <c r="AE8" s="47">
        <v>4028.7</v>
      </c>
      <c r="AF8" s="46">
        <v>5400.66</v>
      </c>
      <c r="AG8" s="46">
        <f>AF8-AE8</f>
        <v>1371.96</v>
      </c>
      <c r="AH8" s="46">
        <v>3882.25</v>
      </c>
      <c r="AI8" s="47">
        <v>4033.86</v>
      </c>
      <c r="AJ8" s="46">
        <v>3833.29</v>
      </c>
      <c r="AK8" s="46">
        <f>AJ8-AI8</f>
        <v>-200.57000000000016</v>
      </c>
    </row>
    <row r="9" spans="1:37" outlineLevel="1" x14ac:dyDescent="0.25">
      <c r="A9" s="22"/>
      <c r="B9" s="56" t="s">
        <v>99</v>
      </c>
      <c r="C9" s="46"/>
      <c r="D9" s="46"/>
      <c r="E9" s="47">
        <f t="shared" si="0"/>
        <v>0</v>
      </c>
      <c r="F9" s="47"/>
      <c r="G9" s="47"/>
      <c r="H9" s="47"/>
      <c r="I9" s="47">
        <f t="shared" si="1"/>
        <v>0</v>
      </c>
      <c r="J9" s="46"/>
      <c r="K9" s="46"/>
      <c r="L9" s="46"/>
      <c r="M9" s="47">
        <f t="shared" si="2"/>
        <v>0</v>
      </c>
      <c r="N9" s="46"/>
      <c r="O9" s="46"/>
      <c r="P9" s="46"/>
      <c r="Q9" s="46"/>
      <c r="R9" s="46"/>
      <c r="S9" s="46"/>
      <c r="T9" s="46"/>
      <c r="U9" s="46"/>
      <c r="V9" s="46"/>
      <c r="W9" s="46"/>
      <c r="X9" s="46"/>
      <c r="Y9" s="46"/>
      <c r="Z9" s="46"/>
      <c r="AA9" s="46"/>
      <c r="AB9" s="46"/>
      <c r="AC9" s="46"/>
      <c r="AD9" s="46"/>
      <c r="AE9" s="46"/>
      <c r="AF9" s="46"/>
      <c r="AG9" s="46"/>
      <c r="AH9" s="46"/>
      <c r="AI9" s="46"/>
      <c r="AJ9" s="46"/>
      <c r="AK9" s="46"/>
    </row>
    <row r="10" spans="1:37" outlineLevel="1" x14ac:dyDescent="0.25">
      <c r="A10" s="22" t="s">
        <v>3</v>
      </c>
      <c r="B10" s="56" t="s">
        <v>146</v>
      </c>
      <c r="C10" s="46"/>
      <c r="D10" s="46"/>
      <c r="E10" s="47">
        <f t="shared" si="0"/>
        <v>0</v>
      </c>
      <c r="F10" s="47"/>
      <c r="G10" s="47"/>
      <c r="H10" s="47">
        <v>317.75</v>
      </c>
      <c r="I10" s="47">
        <f t="shared" si="1"/>
        <v>317.75</v>
      </c>
      <c r="J10" s="46">
        <v>1913.4</v>
      </c>
      <c r="K10" s="46"/>
      <c r="L10" s="46">
        <v>1690.28</v>
      </c>
      <c r="M10" s="47">
        <f t="shared" si="2"/>
        <v>1690.28</v>
      </c>
      <c r="N10" s="46"/>
      <c r="O10" s="46"/>
      <c r="P10" s="46">
        <v>757.31</v>
      </c>
      <c r="Q10" s="46">
        <f>P10-O10</f>
        <v>757.31</v>
      </c>
      <c r="R10" s="46">
        <v>1050</v>
      </c>
      <c r="S10" s="46">
        <v>495.07</v>
      </c>
      <c r="T10" s="46">
        <v>123.43</v>
      </c>
      <c r="U10" s="46">
        <f>T10-S10</f>
        <v>-371.64</v>
      </c>
      <c r="V10" s="46">
        <v>494.27</v>
      </c>
      <c r="W10" s="46">
        <v>518.66999999999996</v>
      </c>
      <c r="X10" s="46">
        <v>2733.71</v>
      </c>
      <c r="Y10" s="46">
        <f>X10-W10</f>
        <v>2215.04</v>
      </c>
      <c r="Z10" s="46">
        <v>493.48</v>
      </c>
      <c r="AA10" s="46">
        <v>513.25</v>
      </c>
      <c r="AB10" s="46">
        <v>1771.9</v>
      </c>
      <c r="AC10" s="46">
        <f>AB10-AA10</f>
        <v>1258.6500000000001</v>
      </c>
      <c r="AD10" s="46">
        <v>492.69</v>
      </c>
      <c r="AE10" s="46">
        <v>510.46</v>
      </c>
      <c r="AF10" s="46">
        <v>2317.5</v>
      </c>
      <c r="AG10" s="46">
        <f>AF10-AE10</f>
        <v>1807.04</v>
      </c>
      <c r="AH10" s="46">
        <v>491.9</v>
      </c>
      <c r="AI10" s="46">
        <v>511.11</v>
      </c>
      <c r="AJ10" s="46">
        <v>4948.43</v>
      </c>
      <c r="AK10" s="46">
        <f>AJ10-AI10</f>
        <v>4437.3200000000006</v>
      </c>
    </row>
    <row r="11" spans="1:37" outlineLevel="1" x14ac:dyDescent="0.25">
      <c r="A11" s="22"/>
      <c r="B11" s="56" t="s">
        <v>99</v>
      </c>
      <c r="C11" s="46"/>
      <c r="D11" s="46"/>
      <c r="E11" s="47">
        <f t="shared" si="0"/>
        <v>0</v>
      </c>
      <c r="F11" s="47"/>
      <c r="G11" s="47"/>
      <c r="H11" s="47">
        <v>223.53</v>
      </c>
      <c r="I11" s="47">
        <f t="shared" si="1"/>
        <v>223.53</v>
      </c>
      <c r="J11" s="46"/>
      <c r="K11" s="46"/>
      <c r="L11" s="46"/>
      <c r="M11" s="47">
        <f t="shared" si="2"/>
        <v>0</v>
      </c>
      <c r="N11" s="46"/>
      <c r="O11" s="46"/>
      <c r="P11" s="46">
        <v>140.97</v>
      </c>
      <c r="Q11" s="46"/>
      <c r="R11" s="46"/>
      <c r="S11" s="46"/>
      <c r="T11" s="46"/>
      <c r="U11" s="46">
        <f>T11-S11</f>
        <v>0</v>
      </c>
      <c r="V11" s="46"/>
      <c r="W11" s="46"/>
      <c r="X11" s="46"/>
      <c r="Y11" s="46">
        <f>X11-W11</f>
        <v>0</v>
      </c>
      <c r="Z11" s="46"/>
      <c r="AA11" s="46"/>
      <c r="AB11" s="46"/>
      <c r="AC11" s="46">
        <f>AB11-AA11</f>
        <v>0</v>
      </c>
      <c r="AD11" s="46"/>
      <c r="AE11" s="46"/>
      <c r="AF11" s="46"/>
      <c r="AG11" s="46">
        <f>AF11-AE11</f>
        <v>0</v>
      </c>
      <c r="AH11" s="46"/>
      <c r="AI11" s="46"/>
      <c r="AJ11" s="46"/>
      <c r="AK11" s="46">
        <f>AJ11-AI11</f>
        <v>0</v>
      </c>
    </row>
    <row r="12" spans="1:37" outlineLevel="1" x14ac:dyDescent="0.25">
      <c r="A12" s="22" t="s">
        <v>87</v>
      </c>
      <c r="B12" s="56" t="s">
        <v>100</v>
      </c>
      <c r="C12" s="48"/>
      <c r="D12" s="48"/>
      <c r="E12" s="47">
        <f t="shared" si="0"/>
        <v>0</v>
      </c>
      <c r="F12" s="47"/>
      <c r="G12" s="47"/>
      <c r="H12" s="47"/>
      <c r="I12" s="47">
        <f t="shared" si="1"/>
        <v>0</v>
      </c>
      <c r="J12" s="46"/>
      <c r="K12" s="46"/>
      <c r="L12" s="46"/>
      <c r="M12" s="47">
        <f t="shared" si="2"/>
        <v>0</v>
      </c>
      <c r="N12" s="46"/>
      <c r="O12" s="46"/>
      <c r="P12" s="46"/>
      <c r="Q12" s="46"/>
      <c r="R12" s="46"/>
      <c r="S12" s="46"/>
      <c r="T12" s="46"/>
      <c r="U12" s="46"/>
      <c r="V12" s="46"/>
      <c r="W12" s="46"/>
      <c r="X12" s="46"/>
      <c r="Y12" s="46"/>
      <c r="Z12" s="46"/>
      <c r="AA12" s="46"/>
      <c r="AB12" s="46"/>
      <c r="AC12" s="46"/>
      <c r="AD12" s="46"/>
      <c r="AE12" s="46"/>
      <c r="AF12" s="46"/>
      <c r="AG12" s="46"/>
      <c r="AH12" s="46"/>
      <c r="AI12" s="46"/>
      <c r="AJ12" s="46"/>
      <c r="AK12" s="46"/>
    </row>
    <row r="13" spans="1:37" outlineLevel="1" x14ac:dyDescent="0.25">
      <c r="A13" s="22" t="s">
        <v>90</v>
      </c>
      <c r="B13" s="56" t="s">
        <v>101</v>
      </c>
      <c r="C13" s="47">
        <v>95.640749849999992</v>
      </c>
      <c r="D13" s="47">
        <f>D15</f>
        <v>45.5</v>
      </c>
      <c r="E13" s="47">
        <f t="shared" si="0"/>
        <v>-50.140749849999992</v>
      </c>
      <c r="F13" s="47">
        <v>890</v>
      </c>
      <c r="G13" s="47">
        <v>136.43</v>
      </c>
      <c r="H13" s="47">
        <v>180.35</v>
      </c>
      <c r="I13" s="47">
        <f t="shared" si="1"/>
        <v>43.919999999999987</v>
      </c>
      <c r="J13" s="46">
        <v>205.5</v>
      </c>
      <c r="K13" s="46">
        <v>203.25</v>
      </c>
      <c r="L13" s="46">
        <f>L14+L15</f>
        <v>229.07999999999998</v>
      </c>
      <c r="M13" s="47">
        <f t="shared" si="2"/>
        <v>25.829999999999984</v>
      </c>
      <c r="N13" s="46">
        <v>283.10000000000002</v>
      </c>
      <c r="O13" s="46">
        <v>266.01</v>
      </c>
      <c r="P13" s="46">
        <v>227.33</v>
      </c>
      <c r="Q13" s="46">
        <f>P13-O13</f>
        <v>-38.679999999999978</v>
      </c>
      <c r="R13" s="46">
        <v>309.14</v>
      </c>
      <c r="S13" s="46">
        <f>S14+S15</f>
        <v>254.20000000000002</v>
      </c>
      <c r="T13" s="46">
        <v>242.24</v>
      </c>
      <c r="U13" s="46">
        <f>T13-S13</f>
        <v>-11.960000000000008</v>
      </c>
      <c r="V13" s="46">
        <f>V14+V15</f>
        <v>265.82</v>
      </c>
      <c r="W13" s="46">
        <f>W14+W15</f>
        <v>280.06</v>
      </c>
      <c r="X13" s="47">
        <f>X14+X15</f>
        <v>285.77</v>
      </c>
      <c r="Y13" s="46">
        <f>X13-W13</f>
        <v>5.7099999999999795</v>
      </c>
      <c r="Z13" s="47">
        <f t="shared" ref="Z13:AA13" si="3">Z14+Z15</f>
        <v>365.95</v>
      </c>
      <c r="AA13" s="47">
        <f t="shared" si="3"/>
        <v>273.64</v>
      </c>
      <c r="AB13" s="47">
        <v>289.99</v>
      </c>
      <c r="AC13" s="46">
        <f>AB13-AA13</f>
        <v>16.350000000000023</v>
      </c>
      <c r="AD13" s="47">
        <f>AD14+AD15</f>
        <v>323.78999999999996</v>
      </c>
      <c r="AE13" s="47">
        <f t="shared" ref="AE13:AG13" si="4">AE14+AE15</f>
        <v>296.47000000000003</v>
      </c>
      <c r="AF13" s="47">
        <f t="shared" si="4"/>
        <v>292.08</v>
      </c>
      <c r="AG13" s="47">
        <f t="shared" si="4"/>
        <v>-4.3900000000000077</v>
      </c>
      <c r="AH13" s="47">
        <f>AH14+AH15</f>
        <v>341.49</v>
      </c>
      <c r="AI13" s="47">
        <f t="shared" ref="AI13:AK13" si="5">AI14+AI15</f>
        <v>311.22000000000003</v>
      </c>
      <c r="AJ13" s="47">
        <f t="shared" si="5"/>
        <v>418.31</v>
      </c>
      <c r="AK13" s="47">
        <f t="shared" si="5"/>
        <v>107.08999999999997</v>
      </c>
    </row>
    <row r="14" spans="1:37" outlineLevel="1" x14ac:dyDescent="0.25">
      <c r="A14" s="22" t="s">
        <v>102</v>
      </c>
      <c r="B14" s="56" t="s">
        <v>103</v>
      </c>
      <c r="C14" s="47">
        <v>0</v>
      </c>
      <c r="D14" s="47">
        <v>0</v>
      </c>
      <c r="E14" s="47">
        <f t="shared" si="0"/>
        <v>0</v>
      </c>
      <c r="F14" s="47">
        <v>762</v>
      </c>
      <c r="G14" s="47">
        <v>0</v>
      </c>
      <c r="H14" s="47"/>
      <c r="I14" s="47">
        <f t="shared" si="1"/>
        <v>0</v>
      </c>
      <c r="J14" s="46"/>
      <c r="K14" s="46"/>
      <c r="L14" s="46">
        <v>37.01</v>
      </c>
      <c r="M14" s="47">
        <f t="shared" si="2"/>
        <v>37.01</v>
      </c>
      <c r="N14" s="46">
        <v>64.2</v>
      </c>
      <c r="O14" s="46">
        <v>64.2</v>
      </c>
      <c r="P14" s="46">
        <v>46.56</v>
      </c>
      <c r="Q14" s="46">
        <f>P14-O14</f>
        <v>-17.64</v>
      </c>
      <c r="R14" s="46">
        <v>64.2</v>
      </c>
      <c r="S14" s="46">
        <v>50.09</v>
      </c>
      <c r="T14" s="46">
        <v>44.7</v>
      </c>
      <c r="U14" s="46">
        <f>T14-S14</f>
        <v>-5.3900000000000006</v>
      </c>
      <c r="V14" s="46">
        <v>53.55</v>
      </c>
      <c r="W14" s="46">
        <v>51.22</v>
      </c>
      <c r="X14" s="46">
        <v>45.1</v>
      </c>
      <c r="Y14" s="46">
        <f>X14-W14</f>
        <v>-6.1199999999999974</v>
      </c>
      <c r="Z14" s="46">
        <v>55.69</v>
      </c>
      <c r="AA14" s="46">
        <v>48.2</v>
      </c>
      <c r="AB14" s="46">
        <v>46.57</v>
      </c>
      <c r="AC14" s="46">
        <f>AB14-AA14</f>
        <v>-1.6300000000000026</v>
      </c>
      <c r="AD14" s="46">
        <v>57.91</v>
      </c>
      <c r="AE14" s="46">
        <v>48.22</v>
      </c>
      <c r="AF14" s="46">
        <v>49.01</v>
      </c>
      <c r="AG14" s="46">
        <f>AF14-AE14</f>
        <v>0.78999999999999915</v>
      </c>
      <c r="AH14" s="46">
        <v>60.23</v>
      </c>
      <c r="AI14" s="46">
        <v>50.85</v>
      </c>
      <c r="AJ14" s="46">
        <v>59.1</v>
      </c>
      <c r="AK14" s="46">
        <f>AJ14-AI14</f>
        <v>8.25</v>
      </c>
    </row>
    <row r="15" spans="1:37" outlineLevel="1" x14ac:dyDescent="0.25">
      <c r="A15" s="22" t="s">
        <v>104</v>
      </c>
      <c r="B15" s="56" t="s">
        <v>105</v>
      </c>
      <c r="C15" s="47">
        <v>95.640749849999992</v>
      </c>
      <c r="D15" s="47">
        <v>45.5</v>
      </c>
      <c r="E15" s="47">
        <f t="shared" si="0"/>
        <v>-50.140749849999992</v>
      </c>
      <c r="F15" s="47">
        <v>128</v>
      </c>
      <c r="G15" s="47">
        <v>136.43</v>
      </c>
      <c r="H15" s="47">
        <v>180.35</v>
      </c>
      <c r="I15" s="47">
        <f t="shared" si="1"/>
        <v>43.919999999999987</v>
      </c>
      <c r="J15" s="46">
        <v>205.5</v>
      </c>
      <c r="K15" s="46">
        <v>203.25</v>
      </c>
      <c r="L15" s="46">
        <v>192.07</v>
      </c>
      <c r="M15" s="47">
        <f t="shared" si="2"/>
        <v>-11.180000000000007</v>
      </c>
      <c r="N15" s="46">
        <v>218.9</v>
      </c>
      <c r="O15" s="46">
        <v>201.81</v>
      </c>
      <c r="P15" s="46">
        <v>180.76</v>
      </c>
      <c r="Q15" s="46">
        <f>P15-O15</f>
        <v>-21.050000000000011</v>
      </c>
      <c r="R15" s="46">
        <v>244.94</v>
      </c>
      <c r="S15" s="46">
        <v>204.11</v>
      </c>
      <c r="T15" s="46">
        <v>197.54</v>
      </c>
      <c r="U15" s="46">
        <f>T15-S15</f>
        <v>-6.5700000000000216</v>
      </c>
      <c r="V15" s="46">
        <v>212.27</v>
      </c>
      <c r="W15" s="46">
        <v>228.84</v>
      </c>
      <c r="X15" s="46">
        <v>240.67</v>
      </c>
      <c r="Y15" s="46">
        <f>X15-W15</f>
        <v>11.829999999999984</v>
      </c>
      <c r="Z15" s="46">
        <v>310.26</v>
      </c>
      <c r="AA15" s="46">
        <v>225.44</v>
      </c>
      <c r="AB15" s="46">
        <v>243.42</v>
      </c>
      <c r="AC15" s="46">
        <f>AB15-AA15</f>
        <v>17.97999999999999</v>
      </c>
      <c r="AD15" s="46">
        <v>265.88</v>
      </c>
      <c r="AE15" s="46">
        <v>248.25</v>
      </c>
      <c r="AF15" s="46">
        <v>243.07</v>
      </c>
      <c r="AG15" s="46">
        <f>AF15-AE15</f>
        <v>-5.1800000000000068</v>
      </c>
      <c r="AH15" s="46">
        <v>281.26</v>
      </c>
      <c r="AI15" s="46">
        <v>260.37</v>
      </c>
      <c r="AJ15" s="46">
        <v>359.21</v>
      </c>
      <c r="AK15" s="46">
        <f>AJ15-AI15</f>
        <v>98.839999999999975</v>
      </c>
    </row>
    <row r="16" spans="1:37" outlineLevel="1" x14ac:dyDescent="0.25">
      <c r="A16" s="22" t="s">
        <v>92</v>
      </c>
      <c r="B16" s="56" t="s">
        <v>106</v>
      </c>
      <c r="C16" s="48">
        <v>14583.946915963425</v>
      </c>
      <c r="D16" s="48">
        <v>16983</v>
      </c>
      <c r="E16" s="47">
        <f t="shared" si="0"/>
        <v>2399.0530840365755</v>
      </c>
      <c r="F16" s="47">
        <v>82557</v>
      </c>
      <c r="G16" s="47">
        <v>28088.3</v>
      </c>
      <c r="H16" s="47">
        <v>27380.42</v>
      </c>
      <c r="I16" s="47">
        <f t="shared" si="1"/>
        <v>-707.88000000000102</v>
      </c>
      <c r="J16" s="46">
        <v>82157.05</v>
      </c>
      <c r="K16" s="46">
        <v>30261.72</v>
      </c>
      <c r="L16" s="46">
        <v>32665.73</v>
      </c>
      <c r="M16" s="47">
        <f t="shared" si="2"/>
        <v>2404.0099999999984</v>
      </c>
      <c r="N16" s="46">
        <v>32781.269999999997</v>
      </c>
      <c r="O16" s="46">
        <v>31367.18</v>
      </c>
      <c r="P16" s="46">
        <v>31067.59</v>
      </c>
      <c r="Q16" s="46">
        <f>P16-O16</f>
        <v>-299.59000000000015</v>
      </c>
      <c r="R16" s="46">
        <v>89586.92</v>
      </c>
      <c r="S16" s="46">
        <v>43324.76</v>
      </c>
      <c r="T16" s="46">
        <v>40980.519999999997</v>
      </c>
      <c r="U16" s="46">
        <f>T16-S16</f>
        <v>-2344.2400000000052</v>
      </c>
      <c r="V16" s="46">
        <v>66902.55</v>
      </c>
      <c r="W16" s="46">
        <v>45390.03</v>
      </c>
      <c r="X16" s="46">
        <v>46043.78</v>
      </c>
      <c r="Y16" s="46">
        <f>X16-W16</f>
        <v>653.75</v>
      </c>
      <c r="Z16" s="46">
        <v>69500.97</v>
      </c>
      <c r="AA16" s="46">
        <v>44916.42</v>
      </c>
      <c r="AB16" s="46">
        <v>54153.72</v>
      </c>
      <c r="AC16" s="46">
        <f>AB16-AA16</f>
        <v>9237.3000000000029</v>
      </c>
      <c r="AD16" s="46">
        <v>46713.08</v>
      </c>
      <c r="AE16" s="46">
        <v>44672.08</v>
      </c>
      <c r="AF16" s="46">
        <v>50917.760000000002</v>
      </c>
      <c r="AG16" s="47">
        <f>AF16-AE16</f>
        <v>6245.68</v>
      </c>
      <c r="AH16" s="46">
        <v>46462.080000000002</v>
      </c>
      <c r="AI16" s="46">
        <v>44729.26</v>
      </c>
      <c r="AJ16" s="46">
        <v>52780.61</v>
      </c>
      <c r="AK16" s="47">
        <f>AJ16-AI16</f>
        <v>8051.3499999999985</v>
      </c>
    </row>
    <row r="17" spans="1:37" outlineLevel="1" x14ac:dyDescent="0.25">
      <c r="A17" s="22"/>
      <c r="B17" s="56" t="s">
        <v>99</v>
      </c>
      <c r="C17" s="46"/>
      <c r="D17" s="46"/>
      <c r="E17" s="47">
        <f t="shared" si="0"/>
        <v>0</v>
      </c>
      <c r="F17" s="47"/>
      <c r="G17" s="47"/>
      <c r="H17" s="47"/>
      <c r="I17" s="47">
        <f t="shared" si="1"/>
        <v>0</v>
      </c>
      <c r="J17" s="46"/>
      <c r="K17" s="46"/>
      <c r="L17" s="46"/>
      <c r="M17" s="47">
        <f t="shared" si="2"/>
        <v>0</v>
      </c>
      <c r="N17" s="46"/>
      <c r="O17" s="46"/>
      <c r="P17" s="46"/>
      <c r="Q17" s="46"/>
      <c r="R17" s="46"/>
      <c r="S17" s="46"/>
      <c r="T17" s="46"/>
      <c r="U17" s="46"/>
      <c r="V17" s="46"/>
      <c r="W17" s="46"/>
      <c r="X17" s="46"/>
      <c r="Y17" s="46"/>
      <c r="Z17" s="46"/>
      <c r="AA17" s="46"/>
      <c r="AB17" s="46"/>
      <c r="AC17" s="46"/>
      <c r="AD17" s="46"/>
      <c r="AE17" s="46"/>
      <c r="AF17" s="46"/>
      <c r="AG17" s="46"/>
      <c r="AH17" s="46"/>
      <c r="AI17" s="46"/>
      <c r="AJ17" s="46"/>
      <c r="AK17" s="46"/>
    </row>
    <row r="18" spans="1:37" outlineLevel="1" x14ac:dyDescent="0.25">
      <c r="A18" s="22" t="s">
        <v>4</v>
      </c>
      <c r="B18" s="57" t="s">
        <v>107</v>
      </c>
      <c r="C18" s="47">
        <v>4433.5198624528812</v>
      </c>
      <c r="D18" s="47">
        <v>4902</v>
      </c>
      <c r="E18" s="47">
        <f t="shared" si="0"/>
        <v>468.48013754711883</v>
      </c>
      <c r="F18" s="47">
        <v>25097</v>
      </c>
      <c r="G18" s="47">
        <v>8538.84</v>
      </c>
      <c r="H18" s="47">
        <v>7794</v>
      </c>
      <c r="I18" s="47">
        <f t="shared" si="1"/>
        <v>-744.84000000000015</v>
      </c>
      <c r="J18" s="46">
        <v>24714.91</v>
      </c>
      <c r="K18" s="46">
        <v>9199.56</v>
      </c>
      <c r="L18" s="46">
        <v>9289.61</v>
      </c>
      <c r="M18" s="47">
        <f t="shared" si="2"/>
        <v>90.050000000001091</v>
      </c>
      <c r="N18" s="46">
        <v>9907.93</v>
      </c>
      <c r="O18" s="46">
        <v>9535.6200000000008</v>
      </c>
      <c r="P18" s="46">
        <v>9444.5499999999993</v>
      </c>
      <c r="Q18" s="46">
        <f>P18-O18</f>
        <v>-91.070000000001528</v>
      </c>
      <c r="R18" s="46">
        <v>27234.43</v>
      </c>
      <c r="S18" s="46">
        <v>13170.73</v>
      </c>
      <c r="T18" s="46">
        <v>11925.51</v>
      </c>
      <c r="U18" s="46">
        <f>T18-S18</f>
        <v>-1245.2199999999993</v>
      </c>
      <c r="V18" s="46">
        <v>20338.38</v>
      </c>
      <c r="W18" s="46">
        <v>13798.57</v>
      </c>
      <c r="X18" s="46">
        <v>13445.43</v>
      </c>
      <c r="Y18" s="46">
        <f>X18-W18</f>
        <v>-353.13999999999942</v>
      </c>
      <c r="Z18" s="46">
        <v>21128.29</v>
      </c>
      <c r="AA18" s="46">
        <v>13474.93</v>
      </c>
      <c r="AB18" s="46">
        <v>15554.69</v>
      </c>
      <c r="AC18" s="46">
        <f>AB18-AA18</f>
        <v>2079.7600000000002</v>
      </c>
      <c r="AD18" s="46">
        <v>13107.61</v>
      </c>
      <c r="AE18" s="46">
        <v>13401.62</v>
      </c>
      <c r="AF18" s="46">
        <v>14930.19</v>
      </c>
      <c r="AG18" s="46">
        <f>AF18-AE18</f>
        <v>1528.5699999999997</v>
      </c>
      <c r="AH18" s="46">
        <v>14124.47</v>
      </c>
      <c r="AI18" s="46">
        <v>13418.78</v>
      </c>
      <c r="AJ18" s="46">
        <v>15417.84</v>
      </c>
      <c r="AK18" s="46">
        <f>AJ18-AI18</f>
        <v>1999.0599999999995</v>
      </c>
    </row>
    <row r="19" spans="1:37" outlineLevel="1" x14ac:dyDescent="0.25">
      <c r="A19" s="22"/>
      <c r="B19" s="56" t="s">
        <v>99</v>
      </c>
      <c r="C19" s="46"/>
      <c r="D19" s="46"/>
      <c r="E19" s="47">
        <f t="shared" si="0"/>
        <v>0</v>
      </c>
      <c r="F19" s="47"/>
      <c r="G19" s="47"/>
      <c r="H19" s="47"/>
      <c r="I19" s="47">
        <f t="shared" si="1"/>
        <v>0</v>
      </c>
      <c r="J19" s="46"/>
      <c r="K19" s="46"/>
      <c r="L19" s="46"/>
      <c r="M19" s="47">
        <f t="shared" si="2"/>
        <v>0</v>
      </c>
      <c r="N19" s="46"/>
      <c r="O19" s="46"/>
      <c r="P19" s="46"/>
      <c r="Q19" s="46"/>
      <c r="R19" s="46"/>
      <c r="S19" s="46"/>
      <c r="T19" s="46"/>
      <c r="U19" s="46"/>
      <c r="V19" s="46"/>
      <c r="W19" s="46"/>
      <c r="X19" s="46"/>
      <c r="Y19" s="46"/>
      <c r="Z19" s="46"/>
      <c r="AA19" s="46"/>
      <c r="AB19" s="46"/>
      <c r="AC19" s="46"/>
      <c r="AD19" s="46"/>
      <c r="AE19" s="46"/>
      <c r="AF19" s="46"/>
      <c r="AG19" s="46"/>
      <c r="AH19" s="46"/>
      <c r="AI19" s="46"/>
      <c r="AJ19" s="46"/>
      <c r="AK19" s="46"/>
    </row>
    <row r="20" spans="1:37" outlineLevel="1" x14ac:dyDescent="0.25">
      <c r="A20" s="22" t="s">
        <v>93</v>
      </c>
      <c r="B20" s="58" t="s">
        <v>108</v>
      </c>
      <c r="C20" s="47">
        <v>1227.89960811525</v>
      </c>
      <c r="D20" s="47">
        <v>2050</v>
      </c>
      <c r="E20" s="47">
        <f t="shared" si="0"/>
        <v>822.10039188475002</v>
      </c>
      <c r="F20" s="47">
        <v>10947.46</v>
      </c>
      <c r="G20" s="47">
        <v>10947.46</v>
      </c>
      <c r="H20" s="47">
        <v>4680</v>
      </c>
      <c r="I20" s="47">
        <f t="shared" si="1"/>
        <v>-6267.4599999999991</v>
      </c>
      <c r="J20" s="46">
        <v>14010.6</v>
      </c>
      <c r="K20" s="46">
        <v>10947.46</v>
      </c>
      <c r="L20" s="46">
        <v>5891.47</v>
      </c>
      <c r="M20" s="47">
        <f t="shared" si="2"/>
        <v>-5055.9899999999989</v>
      </c>
      <c r="N20" s="46">
        <v>10947.46</v>
      </c>
      <c r="O20" s="46">
        <v>10947.46</v>
      </c>
      <c r="P20" s="46">
        <v>787.46</v>
      </c>
      <c r="Q20" s="46">
        <f>P20-O20</f>
        <v>-10160</v>
      </c>
      <c r="R20" s="46">
        <v>5891.47</v>
      </c>
      <c r="S20" s="46">
        <v>5891.47</v>
      </c>
      <c r="T20" s="46">
        <v>5884.69</v>
      </c>
      <c r="U20" s="46">
        <f>T20-S20</f>
        <v>-6.7800000000006548</v>
      </c>
      <c r="V20" s="46">
        <v>5891.47</v>
      </c>
      <c r="W20" s="46">
        <v>5891.47</v>
      </c>
      <c r="X20" s="46">
        <v>5973</v>
      </c>
      <c r="Y20" s="46">
        <f>X20-W20</f>
        <v>81.529999999999745</v>
      </c>
      <c r="Z20" s="46">
        <v>5891.47</v>
      </c>
      <c r="AA20" s="46">
        <v>522.25</v>
      </c>
      <c r="AB20" s="46">
        <v>5108.74</v>
      </c>
      <c r="AC20" s="46">
        <f>AB20-AA20</f>
        <v>4586.49</v>
      </c>
      <c r="AD20" s="46">
        <v>5891.47</v>
      </c>
      <c r="AE20" s="46">
        <v>699.73</v>
      </c>
      <c r="AF20" s="46">
        <v>4835.82</v>
      </c>
      <c r="AG20" s="46">
        <f>AF20-AE20</f>
        <v>4136.09</v>
      </c>
      <c r="AH20" s="46">
        <v>5891.47</v>
      </c>
      <c r="AI20" s="46">
        <v>578.86</v>
      </c>
      <c r="AJ20" s="46">
        <v>4731.9799999999996</v>
      </c>
      <c r="AK20" s="46">
        <f>AJ20-AI20</f>
        <v>4153.12</v>
      </c>
    </row>
    <row r="21" spans="1:37" outlineLevel="1" x14ac:dyDescent="0.25">
      <c r="A21" s="22" t="s">
        <v>94</v>
      </c>
      <c r="B21" s="56" t="s">
        <v>109</v>
      </c>
      <c r="C21" s="47">
        <v>7121.6024185763981</v>
      </c>
      <c r="D21" s="47">
        <f>D22+D23+D25+D28+D32</f>
        <v>10344.08</v>
      </c>
      <c r="E21" s="47">
        <f t="shared" si="0"/>
        <v>3222.4775814236018</v>
      </c>
      <c r="F21" s="47">
        <v>20062</v>
      </c>
      <c r="G21" s="47">
        <v>10126.57</v>
      </c>
      <c r="H21" s="47">
        <v>13834.98</v>
      </c>
      <c r="I21" s="47">
        <f t="shared" si="1"/>
        <v>3708.41</v>
      </c>
      <c r="J21" s="46">
        <v>22011.11</v>
      </c>
      <c r="K21" s="46">
        <v>14787.16</v>
      </c>
      <c r="L21" s="46">
        <f>L23+L24+L25+L28+L32</f>
        <v>14845.660000000002</v>
      </c>
      <c r="M21" s="47">
        <f t="shared" si="2"/>
        <v>58.500000000001819</v>
      </c>
      <c r="N21" s="46">
        <v>20353.490000000002</v>
      </c>
      <c r="O21" s="46">
        <v>14822.81</v>
      </c>
      <c r="P21" s="46">
        <v>16084.07</v>
      </c>
      <c r="Q21" s="46">
        <f>P21-O21</f>
        <v>1261.2600000000002</v>
      </c>
      <c r="R21" s="46">
        <f>R23+R24+R25+R28+R32+R34</f>
        <v>17201.399999999998</v>
      </c>
      <c r="S21" s="46">
        <f>S23+S24+S25+S28+S32+S34</f>
        <v>15830.99</v>
      </c>
      <c r="T21" s="46">
        <f>T23+T24+T25+T28+T32+T34</f>
        <v>16720.490000000002</v>
      </c>
      <c r="U21" s="46">
        <f>T21-S21</f>
        <v>889.50000000000182</v>
      </c>
      <c r="V21" s="46">
        <f>V23+V24+V25+V28+V32+V34</f>
        <v>16959.32</v>
      </c>
      <c r="W21" s="46">
        <f>W23+W24+W25+W28+W32+W34</f>
        <v>17665.89</v>
      </c>
      <c r="X21" s="47">
        <f>X23+X24+X25+X28+X32+X34</f>
        <v>17602.32</v>
      </c>
      <c r="Y21" s="46">
        <f>X21-W21</f>
        <v>-63.569999999999709</v>
      </c>
      <c r="Z21" s="46">
        <f>Z23+Z24+Z25+Z28+Z32+Z34</f>
        <v>18527.59</v>
      </c>
      <c r="AA21" s="46">
        <f>AA23+AA24+AA25+AA28+AA32+AA34</f>
        <v>17761.43</v>
      </c>
      <c r="AB21" s="47">
        <f>AB23+AB24+AB25+AB28+AB32+AB34</f>
        <v>17541.159999999996</v>
      </c>
      <c r="AC21" s="46">
        <f>AB21-AA21</f>
        <v>-220.27000000000407</v>
      </c>
      <c r="AD21" s="46">
        <f>AD23+AD24+AD25+AD28+AD32+AD34</f>
        <v>16904.050000000003</v>
      </c>
      <c r="AE21" s="46">
        <f>AE23+AE24+AE25+AE28+AE32+AE34</f>
        <v>16638.61</v>
      </c>
      <c r="AF21" s="47">
        <f>AF23+AF24+AF25+AF28+AF32+AF34</f>
        <v>16501.93</v>
      </c>
      <c r="AG21" s="46">
        <f>AF21-AE21</f>
        <v>-136.68000000000029</v>
      </c>
      <c r="AH21" s="46">
        <f>AH23+AH24+AH25+AH28+AH32+AH34</f>
        <v>18698.259999999998</v>
      </c>
      <c r="AI21" s="47">
        <f>AI23+AI24+AI25+AI28+AI32+AI34</f>
        <v>18213.11</v>
      </c>
      <c r="AJ21" s="47">
        <f>AJ23+AJ24+AJ25+AJ28+AJ32+AJ34</f>
        <v>18524.32</v>
      </c>
      <c r="AK21" s="46">
        <f>AJ21-AI21</f>
        <v>311.20999999999913</v>
      </c>
    </row>
    <row r="22" spans="1:37" ht="26.4" outlineLevel="1" x14ac:dyDescent="0.25">
      <c r="A22" s="59" t="s">
        <v>110</v>
      </c>
      <c r="B22" s="60" t="s">
        <v>170</v>
      </c>
      <c r="C22" s="48">
        <v>550</v>
      </c>
      <c r="D22" s="48">
        <v>550</v>
      </c>
      <c r="E22" s="47">
        <f t="shared" si="0"/>
        <v>0</v>
      </c>
      <c r="F22" s="47">
        <v>0</v>
      </c>
      <c r="G22" s="47">
        <v>0</v>
      </c>
      <c r="H22" s="47">
        <v>355.9</v>
      </c>
      <c r="I22" s="47">
        <f t="shared" si="1"/>
        <v>355.9</v>
      </c>
      <c r="J22" s="46">
        <v>420</v>
      </c>
      <c r="K22" s="46"/>
      <c r="L22" s="46"/>
      <c r="M22" s="47">
        <f t="shared" si="2"/>
        <v>0</v>
      </c>
      <c r="N22" s="46"/>
      <c r="O22" s="46"/>
      <c r="P22" s="46"/>
      <c r="Q22" s="46"/>
      <c r="R22" s="46"/>
      <c r="S22" s="46"/>
      <c r="T22" s="46"/>
      <c r="U22" s="46"/>
      <c r="V22" s="46"/>
      <c r="W22" s="46"/>
      <c r="X22" s="46"/>
      <c r="Y22" s="46"/>
      <c r="Z22" s="46"/>
      <c r="AA22" s="46"/>
      <c r="AB22" s="46"/>
      <c r="AC22" s="46"/>
      <c r="AD22" s="46"/>
      <c r="AE22" s="46"/>
      <c r="AF22" s="46"/>
      <c r="AG22" s="46"/>
      <c r="AH22" s="46"/>
      <c r="AI22" s="46"/>
      <c r="AJ22" s="46"/>
      <c r="AK22" s="46"/>
    </row>
    <row r="23" spans="1:37" outlineLevel="1" x14ac:dyDescent="0.25">
      <c r="A23" s="22" t="s">
        <v>111</v>
      </c>
      <c r="B23" s="56" t="s">
        <v>154</v>
      </c>
      <c r="C23" s="47">
        <v>37.9</v>
      </c>
      <c r="D23" s="47">
        <v>43.8</v>
      </c>
      <c r="E23" s="47">
        <f t="shared" si="0"/>
        <v>5.8999999999999986</v>
      </c>
      <c r="F23" s="47">
        <v>40</v>
      </c>
      <c r="G23" s="47">
        <v>40</v>
      </c>
      <c r="H23" s="47">
        <v>51.6</v>
      </c>
      <c r="I23" s="47">
        <f t="shared" si="1"/>
        <v>11.600000000000001</v>
      </c>
      <c r="J23" s="46">
        <v>57.5</v>
      </c>
      <c r="K23" s="46"/>
      <c r="L23" s="46"/>
      <c r="M23" s="47">
        <f t="shared" si="2"/>
        <v>0</v>
      </c>
      <c r="N23" s="46">
        <v>58.1</v>
      </c>
      <c r="O23" s="46">
        <v>44.7</v>
      </c>
      <c r="P23" s="46">
        <v>54.8</v>
      </c>
      <c r="Q23" s="46">
        <f>P23-O23</f>
        <v>10.099999999999994</v>
      </c>
      <c r="R23" s="46">
        <v>56.39</v>
      </c>
      <c r="S23" s="46">
        <v>52.41</v>
      </c>
      <c r="T23" s="46">
        <v>59.37</v>
      </c>
      <c r="U23" s="46">
        <f>T23-S23</f>
        <v>6.9600000000000009</v>
      </c>
      <c r="V23" s="46">
        <v>52.33</v>
      </c>
      <c r="W23" s="46">
        <v>54.91</v>
      </c>
      <c r="X23" s="46">
        <v>57.44</v>
      </c>
      <c r="Y23" s="46">
        <f>X23-W23</f>
        <v>2.5300000000000011</v>
      </c>
      <c r="Z23" s="46">
        <v>52.24</v>
      </c>
      <c r="AA23" s="46">
        <v>54.33</v>
      </c>
      <c r="AB23" s="46">
        <v>62.79</v>
      </c>
      <c r="AC23" s="46">
        <f>AB23-AA23</f>
        <v>8.4600000000000009</v>
      </c>
      <c r="AD23" s="46">
        <v>52.16</v>
      </c>
      <c r="AE23" s="46">
        <v>54.04</v>
      </c>
      <c r="AF23" s="46">
        <v>47.8</v>
      </c>
      <c r="AG23" s="46">
        <f>AF23-AE23</f>
        <v>-6.240000000000002</v>
      </c>
      <c r="AH23" s="46">
        <v>52.07</v>
      </c>
      <c r="AI23" s="46">
        <v>54.11</v>
      </c>
      <c r="AJ23" s="46">
        <v>46.19</v>
      </c>
      <c r="AK23" s="46">
        <f>AJ23-AI23</f>
        <v>-7.9200000000000017</v>
      </c>
    </row>
    <row r="24" spans="1:37" ht="16.2" customHeight="1" outlineLevel="1" x14ac:dyDescent="0.25">
      <c r="A24" s="22" t="s">
        <v>112</v>
      </c>
      <c r="B24" s="56" t="s">
        <v>113</v>
      </c>
      <c r="C24" s="49"/>
      <c r="D24" s="46">
        <v>0</v>
      </c>
      <c r="E24" s="47">
        <f t="shared" si="0"/>
        <v>0</v>
      </c>
      <c r="F24" s="47">
        <v>6</v>
      </c>
      <c r="G24" s="47">
        <v>0</v>
      </c>
      <c r="H24" s="47">
        <v>33.1</v>
      </c>
      <c r="I24" s="47">
        <f t="shared" si="1"/>
        <v>33.1</v>
      </c>
      <c r="J24" s="46">
        <v>33.1</v>
      </c>
      <c r="K24" s="46"/>
      <c r="L24" s="46"/>
      <c r="M24" s="47">
        <f t="shared" si="2"/>
        <v>0</v>
      </c>
      <c r="N24" s="46">
        <v>19.100000000000001</v>
      </c>
      <c r="O24" s="46">
        <v>19.100000000000001</v>
      </c>
      <c r="P24" s="46">
        <v>19.43</v>
      </c>
      <c r="Q24" s="46">
        <f>P24-O24</f>
        <v>0.32999999999999829</v>
      </c>
      <c r="R24" s="46">
        <v>20</v>
      </c>
      <c r="S24" s="46">
        <v>18.63</v>
      </c>
      <c r="T24" s="46">
        <v>9.3000000000000007</v>
      </c>
      <c r="U24" s="46">
        <f>T24-S24</f>
        <v>-9.3299999999999983</v>
      </c>
      <c r="V24" s="46">
        <v>19.38</v>
      </c>
      <c r="W24" s="46">
        <v>19.38</v>
      </c>
      <c r="X24" s="46">
        <v>5.95</v>
      </c>
      <c r="Y24" s="46">
        <f>X24-W24</f>
        <v>-13.43</v>
      </c>
      <c r="Z24" s="46">
        <v>20.149999999999999</v>
      </c>
      <c r="AA24" s="46">
        <v>9.2799999999999994</v>
      </c>
      <c r="AB24" s="46">
        <v>5.01</v>
      </c>
      <c r="AC24" s="46">
        <f>AB24-AA24</f>
        <v>-4.2699999999999996</v>
      </c>
      <c r="AD24" s="46">
        <v>20.96</v>
      </c>
      <c r="AE24" s="46">
        <v>6.36</v>
      </c>
      <c r="AF24" s="46">
        <v>6.6</v>
      </c>
      <c r="AG24" s="46">
        <f>AF24-AE24</f>
        <v>0.23999999999999932</v>
      </c>
      <c r="AH24" s="46">
        <v>21.79</v>
      </c>
      <c r="AI24" s="46">
        <v>5.47</v>
      </c>
      <c r="AJ24" s="46">
        <v>290.74</v>
      </c>
      <c r="AK24" s="46">
        <f>AJ24-AI24</f>
        <v>285.27</v>
      </c>
    </row>
    <row r="25" spans="1:37" ht="103.05" customHeight="1" x14ac:dyDescent="0.25">
      <c r="A25" s="59" t="s">
        <v>155</v>
      </c>
      <c r="B25" s="56" t="s">
        <v>156</v>
      </c>
      <c r="C25" s="47">
        <v>5267.95</v>
      </c>
      <c r="D25" s="47">
        <v>5351.88</v>
      </c>
      <c r="E25" s="47">
        <f t="shared" si="0"/>
        <v>83.930000000000291</v>
      </c>
      <c r="F25" s="47">
        <v>9111</v>
      </c>
      <c r="G25" s="47">
        <v>5528.72</v>
      </c>
      <c r="H25" s="47">
        <v>9074.0499999999993</v>
      </c>
      <c r="I25" s="47">
        <f t="shared" si="1"/>
        <v>3545.329999999999</v>
      </c>
      <c r="J25" s="46">
        <v>13095.1</v>
      </c>
      <c r="K25" s="46">
        <v>9557.8700000000008</v>
      </c>
      <c r="L25" s="46">
        <v>9197.2800000000007</v>
      </c>
      <c r="M25" s="47">
        <f t="shared" si="2"/>
        <v>-360.59000000000015</v>
      </c>
      <c r="N25" s="46">
        <v>13144.83</v>
      </c>
      <c r="O25" s="46">
        <v>9531.93</v>
      </c>
      <c r="P25" s="46">
        <v>10583.75</v>
      </c>
      <c r="Q25" s="46">
        <f>P25-O25</f>
        <v>1051.8199999999997</v>
      </c>
      <c r="R25" s="46">
        <v>8765.6299999999992</v>
      </c>
      <c r="S25" s="46">
        <v>8878.5499999999993</v>
      </c>
      <c r="T25" s="46">
        <v>9943.2800000000007</v>
      </c>
      <c r="U25" s="46">
        <f>T25-S25</f>
        <v>1064.7300000000014</v>
      </c>
      <c r="V25" s="46">
        <v>10008.85</v>
      </c>
      <c r="W25" s="46">
        <v>10669.59</v>
      </c>
      <c r="X25" s="46">
        <v>10470.9</v>
      </c>
      <c r="Y25" s="46">
        <f>X25-W25</f>
        <v>-198.69000000000051</v>
      </c>
      <c r="Z25" s="46">
        <v>11222.2</v>
      </c>
      <c r="AA25" s="46">
        <v>10920.48</v>
      </c>
      <c r="AB25" s="46">
        <v>10882.4</v>
      </c>
      <c r="AC25" s="46">
        <f>AB25-AA25</f>
        <v>-38.079999999999927</v>
      </c>
      <c r="AD25" s="46">
        <v>9957.17</v>
      </c>
      <c r="AE25" s="46">
        <v>9923.17</v>
      </c>
      <c r="AF25" s="46">
        <v>10156.299999999999</v>
      </c>
      <c r="AG25" s="46">
        <f>AF25-AE25</f>
        <v>233.1299999999992</v>
      </c>
      <c r="AH25" s="46">
        <v>11753</v>
      </c>
      <c r="AI25" s="46">
        <v>11600.03</v>
      </c>
      <c r="AJ25" s="46">
        <v>12092.64</v>
      </c>
      <c r="AK25" s="46">
        <f>AJ25-AI25</f>
        <v>492.60999999999876</v>
      </c>
    </row>
    <row r="26" spans="1:37" ht="26.4" outlineLevel="1" x14ac:dyDescent="0.25">
      <c r="A26" s="22" t="s">
        <v>157</v>
      </c>
      <c r="B26" s="56" t="s">
        <v>158</v>
      </c>
      <c r="C26" s="49"/>
      <c r="D26" s="49"/>
      <c r="E26" s="47">
        <f t="shared" si="0"/>
        <v>0</v>
      </c>
      <c r="F26" s="47"/>
      <c r="G26" s="47"/>
      <c r="H26" s="47"/>
      <c r="I26" s="47">
        <f t="shared" si="1"/>
        <v>0</v>
      </c>
      <c r="J26" s="46"/>
      <c r="K26" s="46"/>
      <c r="L26" s="46"/>
      <c r="M26" s="47">
        <f t="shared" si="2"/>
        <v>0</v>
      </c>
      <c r="N26" s="46"/>
      <c r="O26" s="46"/>
      <c r="P26" s="46"/>
      <c r="Q26" s="46"/>
      <c r="R26" s="46"/>
      <c r="S26" s="46"/>
      <c r="T26" s="46"/>
      <c r="U26" s="46"/>
      <c r="V26" s="46"/>
      <c r="W26" s="46"/>
      <c r="X26" s="46"/>
      <c r="Y26" s="46"/>
      <c r="Z26" s="46"/>
      <c r="AA26" s="46"/>
      <c r="AB26" s="46"/>
      <c r="AC26" s="46"/>
      <c r="AD26" s="46"/>
      <c r="AE26" s="46"/>
      <c r="AF26" s="46"/>
      <c r="AG26" s="46"/>
      <c r="AH26" s="46"/>
      <c r="AI26" s="46"/>
      <c r="AJ26" s="46"/>
      <c r="AK26" s="46"/>
    </row>
    <row r="27" spans="1:37" outlineLevel="1" x14ac:dyDescent="0.25">
      <c r="A27" s="22" t="s">
        <v>159</v>
      </c>
      <c r="B27" s="56" t="s">
        <v>160</v>
      </c>
      <c r="C27" s="47"/>
      <c r="D27" s="47"/>
      <c r="E27" s="47">
        <f t="shared" si="0"/>
        <v>0</v>
      </c>
      <c r="F27" s="47"/>
      <c r="G27" s="47"/>
      <c r="H27" s="47"/>
      <c r="I27" s="47">
        <f t="shared" si="1"/>
        <v>0</v>
      </c>
      <c r="J27" s="46"/>
      <c r="K27" s="46"/>
      <c r="L27" s="46"/>
      <c r="M27" s="47">
        <f t="shared" si="2"/>
        <v>0</v>
      </c>
      <c r="N27" s="46"/>
      <c r="O27" s="46"/>
      <c r="P27" s="46"/>
      <c r="Q27" s="46"/>
      <c r="R27" s="46"/>
      <c r="S27" s="46"/>
      <c r="T27" s="46"/>
      <c r="U27" s="46"/>
      <c r="V27" s="46"/>
      <c r="W27" s="46"/>
      <c r="X27" s="46"/>
      <c r="Y27" s="46"/>
      <c r="Z27" s="46"/>
      <c r="AA27" s="46"/>
      <c r="AB27" s="46"/>
      <c r="AC27" s="46"/>
      <c r="AD27" s="46"/>
      <c r="AE27" s="46"/>
      <c r="AF27" s="46"/>
      <c r="AG27" s="46"/>
      <c r="AH27" s="46"/>
      <c r="AI27" s="46"/>
      <c r="AJ27" s="46"/>
      <c r="AK27" s="46"/>
    </row>
    <row r="28" spans="1:37" ht="26.4" outlineLevel="1" x14ac:dyDescent="0.25">
      <c r="A28" s="22" t="s">
        <v>114</v>
      </c>
      <c r="B28" s="56" t="s">
        <v>115</v>
      </c>
      <c r="C28" s="47">
        <v>314.2094675925</v>
      </c>
      <c r="D28" s="47">
        <v>821.9</v>
      </c>
      <c r="E28" s="47">
        <f t="shared" si="0"/>
        <v>507.69053240749997</v>
      </c>
      <c r="F28" s="47">
        <v>6354</v>
      </c>
      <c r="G28" s="47">
        <v>3034.88</v>
      </c>
      <c r="H28" s="47">
        <v>1926.26</v>
      </c>
      <c r="I28" s="47">
        <f t="shared" si="1"/>
        <v>-1108.6200000000001</v>
      </c>
      <c r="J28" s="46">
        <v>3676.2</v>
      </c>
      <c r="K28" s="46">
        <v>3526.28</v>
      </c>
      <c r="L28" s="46">
        <v>2914.3</v>
      </c>
      <c r="M28" s="47">
        <f t="shared" si="2"/>
        <v>-611.98</v>
      </c>
      <c r="N28" s="46">
        <v>3526.33</v>
      </c>
      <c r="O28" s="46">
        <v>3526.33</v>
      </c>
      <c r="P28" s="46">
        <v>2824.57</v>
      </c>
      <c r="Q28" s="46">
        <f>P28-O28</f>
        <v>-701.75999999999976</v>
      </c>
      <c r="R28" s="46">
        <f>R30+R31</f>
        <v>2914.33</v>
      </c>
      <c r="S28" s="46">
        <f>S30+S31</f>
        <v>2914.33</v>
      </c>
      <c r="T28" s="46">
        <v>2706.88</v>
      </c>
      <c r="U28" s="46">
        <f>T28-S28</f>
        <v>-207.44999999999982</v>
      </c>
      <c r="V28" s="46">
        <f>V30+V31</f>
        <v>2916.2000000000003</v>
      </c>
      <c r="W28" s="47">
        <f>W30+W31</f>
        <v>2820.8</v>
      </c>
      <c r="X28" s="47">
        <f>X30+X31</f>
        <v>2598.34</v>
      </c>
      <c r="Y28" s="46">
        <f>X28-W28</f>
        <v>-222.46000000000004</v>
      </c>
      <c r="Z28" s="46">
        <f>Z30+Z31</f>
        <v>2920.31</v>
      </c>
      <c r="AA28" s="47">
        <f>AA30+AA31</f>
        <v>2706.8799999999997</v>
      </c>
      <c r="AB28" s="47">
        <f>AB30+AB31</f>
        <v>2495.2099999999996</v>
      </c>
      <c r="AC28" s="46">
        <f>AB28-AA28</f>
        <v>-211.67000000000007</v>
      </c>
      <c r="AD28" s="46">
        <f>AD30+AD31</f>
        <v>2920.1800000000003</v>
      </c>
      <c r="AE28" s="47">
        <f>AE30+AE31</f>
        <v>2600.46</v>
      </c>
      <c r="AF28" s="47">
        <f>AF30+AF31</f>
        <v>2358.2200000000003</v>
      </c>
      <c r="AG28" s="46">
        <f>AF28-AE28</f>
        <v>-242.23999999999978</v>
      </c>
      <c r="AH28" s="46">
        <f>AH30+AH31</f>
        <v>2922.3</v>
      </c>
      <c r="AI28" s="47">
        <f>AI30+AI31</f>
        <v>2495.2099999999996</v>
      </c>
      <c r="AJ28" s="47">
        <f>AJ30+AJ31</f>
        <v>2136.6400000000003</v>
      </c>
      <c r="AK28" s="46">
        <f>AJ28-AI28</f>
        <v>-358.56999999999925</v>
      </c>
    </row>
    <row r="29" spans="1:37" outlineLevel="1" x14ac:dyDescent="0.25">
      <c r="A29" s="22" t="s">
        <v>116</v>
      </c>
      <c r="B29" s="56" t="s">
        <v>117</v>
      </c>
      <c r="C29" s="46"/>
      <c r="D29" s="46"/>
      <c r="E29" s="47">
        <f t="shared" si="0"/>
        <v>0</v>
      </c>
      <c r="F29" s="47"/>
      <c r="G29" s="47"/>
      <c r="H29" s="47"/>
      <c r="I29" s="47">
        <f t="shared" si="1"/>
        <v>0</v>
      </c>
      <c r="J29" s="46"/>
      <c r="K29" s="46"/>
      <c r="L29" s="46"/>
      <c r="M29" s="47">
        <f t="shared" si="2"/>
        <v>0</v>
      </c>
      <c r="N29" s="46"/>
      <c r="O29" s="46"/>
      <c r="P29" s="46"/>
      <c r="Q29" s="46"/>
      <c r="R29" s="46"/>
      <c r="S29" s="46"/>
      <c r="T29" s="46"/>
      <c r="U29" s="46"/>
      <c r="V29" s="46"/>
      <c r="W29" s="46"/>
      <c r="X29" s="46"/>
      <c r="Y29" s="46"/>
      <c r="Z29" s="46"/>
      <c r="AA29" s="46"/>
      <c r="AB29" s="46"/>
      <c r="AC29" s="46"/>
      <c r="AD29" s="46"/>
      <c r="AE29" s="46"/>
      <c r="AF29" s="46"/>
      <c r="AG29" s="46"/>
      <c r="AH29" s="46"/>
      <c r="AI29" s="46"/>
      <c r="AJ29" s="46"/>
      <c r="AK29" s="46"/>
    </row>
    <row r="30" spans="1:37" outlineLevel="1" x14ac:dyDescent="0.25">
      <c r="A30" s="22" t="s">
        <v>118</v>
      </c>
      <c r="B30" s="56" t="s">
        <v>119</v>
      </c>
      <c r="C30" s="47">
        <v>27.910499999999999</v>
      </c>
      <c r="D30" s="47">
        <v>32</v>
      </c>
      <c r="E30" s="47">
        <f t="shared" si="0"/>
        <v>4.089500000000001</v>
      </c>
      <c r="F30" s="47">
        <v>42</v>
      </c>
      <c r="G30" s="47">
        <v>39.71</v>
      </c>
      <c r="H30" s="47">
        <v>44.93</v>
      </c>
      <c r="I30" s="47">
        <f t="shared" si="1"/>
        <v>5.2199999999999989</v>
      </c>
      <c r="J30" s="46">
        <v>45.54</v>
      </c>
      <c r="K30" s="46">
        <v>45.55</v>
      </c>
      <c r="L30" s="46">
        <v>46.9</v>
      </c>
      <c r="M30" s="47">
        <f t="shared" si="2"/>
        <v>1.3500000000000014</v>
      </c>
      <c r="N30" s="46">
        <v>45.6</v>
      </c>
      <c r="O30" s="46">
        <v>45.6</v>
      </c>
      <c r="P30" s="46">
        <v>52.57</v>
      </c>
      <c r="Q30" s="46">
        <f t="shared" ref="Q30:Q37" si="6">P30-O30</f>
        <v>6.9699999999999989</v>
      </c>
      <c r="R30" s="46">
        <v>46.93</v>
      </c>
      <c r="S30" s="46">
        <v>46.93</v>
      </c>
      <c r="T30" s="46">
        <v>52.91</v>
      </c>
      <c r="U30" s="46">
        <f t="shared" ref="U30:U35" si="7">T30-S30</f>
        <v>5.9799999999999969</v>
      </c>
      <c r="V30" s="46">
        <v>48.8</v>
      </c>
      <c r="W30" s="46">
        <v>48.8</v>
      </c>
      <c r="X30" s="46">
        <v>47.34</v>
      </c>
      <c r="Y30" s="46">
        <f t="shared" ref="Y30:Y35" si="8">X30-W30</f>
        <v>-1.4599999999999937</v>
      </c>
      <c r="Z30" s="46">
        <v>52.91</v>
      </c>
      <c r="AA30" s="46">
        <v>52.91</v>
      </c>
      <c r="AB30" s="46">
        <v>49.47</v>
      </c>
      <c r="AC30" s="46">
        <f t="shared" ref="AC30:AC35" si="9">AB30-AA30</f>
        <v>-3.4399999999999977</v>
      </c>
      <c r="AD30" s="46">
        <v>52.78</v>
      </c>
      <c r="AE30" s="46">
        <v>49.46</v>
      </c>
      <c r="AF30" s="46">
        <v>29.09</v>
      </c>
      <c r="AG30" s="46">
        <f t="shared" ref="AG30:AG35" si="10">AF30-AE30</f>
        <v>-20.37</v>
      </c>
      <c r="AH30" s="46">
        <v>54.9</v>
      </c>
      <c r="AI30" s="46">
        <v>49.47</v>
      </c>
      <c r="AJ30" s="46">
        <v>27.07</v>
      </c>
      <c r="AK30" s="46">
        <f t="shared" ref="AK30:AK35" si="11">AJ30-AI30</f>
        <v>-22.4</v>
      </c>
    </row>
    <row r="31" spans="1:37" outlineLevel="1" x14ac:dyDescent="0.25">
      <c r="A31" s="22" t="s">
        <v>120</v>
      </c>
      <c r="B31" s="56" t="s">
        <v>121</v>
      </c>
      <c r="C31" s="47">
        <v>286.29896759249999</v>
      </c>
      <c r="D31" s="47">
        <v>789.9</v>
      </c>
      <c r="E31" s="47">
        <f t="shared" si="0"/>
        <v>503.60103240749999</v>
      </c>
      <c r="F31" s="47">
        <v>6312</v>
      </c>
      <c r="G31" s="47">
        <v>2995.17</v>
      </c>
      <c r="H31" s="47">
        <v>1881.33</v>
      </c>
      <c r="I31" s="47">
        <f t="shared" si="1"/>
        <v>-1113.8400000000001</v>
      </c>
      <c r="J31" s="46">
        <v>3630.66</v>
      </c>
      <c r="K31" s="46">
        <v>3480.73</v>
      </c>
      <c r="L31" s="46">
        <v>2867.4</v>
      </c>
      <c r="M31" s="47">
        <f t="shared" si="2"/>
        <v>-613.32999999999993</v>
      </c>
      <c r="N31" s="46">
        <v>3480.73</v>
      </c>
      <c r="O31" s="46">
        <v>3480.73</v>
      </c>
      <c r="P31" s="48">
        <v>2772</v>
      </c>
      <c r="Q31" s="46">
        <f t="shared" si="6"/>
        <v>-708.73</v>
      </c>
      <c r="R31" s="46">
        <v>2867.4</v>
      </c>
      <c r="S31" s="46">
        <v>2867.4</v>
      </c>
      <c r="T31" s="48">
        <v>2653.97</v>
      </c>
      <c r="U31" s="46">
        <f t="shared" si="7"/>
        <v>-213.43000000000029</v>
      </c>
      <c r="V31" s="46">
        <v>2867.4</v>
      </c>
      <c r="W31" s="48">
        <v>2772</v>
      </c>
      <c r="X31" s="48">
        <v>2551</v>
      </c>
      <c r="Y31" s="46">
        <f t="shared" si="8"/>
        <v>-221</v>
      </c>
      <c r="Z31" s="46">
        <v>2867.4</v>
      </c>
      <c r="AA31" s="47">
        <v>2653.97</v>
      </c>
      <c r="AB31" s="48">
        <v>2445.7399999999998</v>
      </c>
      <c r="AC31" s="46">
        <f t="shared" si="9"/>
        <v>-208.23000000000002</v>
      </c>
      <c r="AD31" s="46">
        <v>2867.4</v>
      </c>
      <c r="AE31" s="47">
        <v>2551</v>
      </c>
      <c r="AF31" s="47">
        <v>2329.13</v>
      </c>
      <c r="AG31" s="46">
        <f t="shared" si="10"/>
        <v>-221.86999999999989</v>
      </c>
      <c r="AH31" s="46">
        <v>2867.4</v>
      </c>
      <c r="AI31" s="47">
        <v>2445.7399999999998</v>
      </c>
      <c r="AJ31" s="47">
        <v>2109.5700000000002</v>
      </c>
      <c r="AK31" s="46">
        <f t="shared" si="11"/>
        <v>-336.16999999999962</v>
      </c>
    </row>
    <row r="32" spans="1:37" ht="26.4" outlineLevel="1" x14ac:dyDescent="0.25">
      <c r="A32" s="22" t="s">
        <v>122</v>
      </c>
      <c r="B32" s="56" t="s">
        <v>161</v>
      </c>
      <c r="C32" s="48">
        <v>951.54295098389855</v>
      </c>
      <c r="D32" s="47">
        <v>3576.5</v>
      </c>
      <c r="E32" s="47">
        <f t="shared" si="0"/>
        <v>2624.9570490161013</v>
      </c>
      <c r="F32" s="47">
        <v>4551</v>
      </c>
      <c r="G32" s="47">
        <v>1522.97</v>
      </c>
      <c r="H32" s="47">
        <v>2394.04</v>
      </c>
      <c r="I32" s="47">
        <f t="shared" si="1"/>
        <v>871.06999999999994</v>
      </c>
      <c r="J32" s="46">
        <v>4742.28</v>
      </c>
      <c r="K32" s="46">
        <v>1703.01</v>
      </c>
      <c r="L32" s="46">
        <v>2734.08</v>
      </c>
      <c r="M32" s="47">
        <f t="shared" si="2"/>
        <v>1031.07</v>
      </c>
      <c r="N32" s="46">
        <v>3605.18</v>
      </c>
      <c r="O32" s="46">
        <v>1700.76</v>
      </c>
      <c r="P32" s="46">
        <v>2601.5700000000002</v>
      </c>
      <c r="Q32" s="46">
        <f t="shared" si="6"/>
        <v>900.81000000000017</v>
      </c>
      <c r="R32" s="46">
        <v>5445.05</v>
      </c>
      <c r="S32" s="46">
        <f>2866.46-52.41+1153.02</f>
        <v>3967.07</v>
      </c>
      <c r="T32" s="46">
        <v>4001.66</v>
      </c>
      <c r="U32" s="46">
        <f t="shared" si="7"/>
        <v>34.589999999999691</v>
      </c>
      <c r="V32" s="46">
        <f>6140.92-3279.05-52.33+1153.02</f>
        <v>3962.56</v>
      </c>
      <c r="W32" s="46">
        <f>6443.97-3440.87-54.91+1153.02</f>
        <v>4101.2100000000009</v>
      </c>
      <c r="X32" s="46">
        <v>4469.6899999999996</v>
      </c>
      <c r="Y32" s="46">
        <f t="shared" si="8"/>
        <v>368.47999999999865</v>
      </c>
      <c r="Z32" s="46">
        <f>6330.1-3273.8-52.24+1153.02+155.61</f>
        <v>4312.6899999999996</v>
      </c>
      <c r="AA32" s="46">
        <f>6376.73-3404.96-54.33+1153.02</f>
        <v>4070.4599999999996</v>
      </c>
      <c r="AB32" s="46">
        <v>4095.75</v>
      </c>
      <c r="AC32" s="46">
        <f t="shared" si="9"/>
        <v>25.290000000000418</v>
      </c>
      <c r="AD32" s="46">
        <f>6121.29-AD7-AD23+AD33</f>
        <v>3953.58</v>
      </c>
      <c r="AE32" s="46">
        <f>6342.04-AE7-AE23+AE33</f>
        <v>4054.58</v>
      </c>
      <c r="AF32" s="46">
        <v>3933.01</v>
      </c>
      <c r="AG32" s="46">
        <f t="shared" si="10"/>
        <v>-121.56999999999971</v>
      </c>
      <c r="AH32" s="46">
        <f>6111.49-AH7-AH23+AH33</f>
        <v>3949.0999999999995</v>
      </c>
      <c r="AI32" s="46">
        <f>6350.16-AI7-AI23+AI33</f>
        <v>4058.2899999999995</v>
      </c>
      <c r="AJ32" s="46">
        <v>3958.11</v>
      </c>
      <c r="AK32" s="46">
        <f t="shared" si="11"/>
        <v>-100.17999999999938</v>
      </c>
    </row>
    <row r="33" spans="1:37" outlineLevel="1" x14ac:dyDescent="0.25">
      <c r="A33" s="22" t="s">
        <v>162</v>
      </c>
      <c r="B33" s="56" t="s">
        <v>311</v>
      </c>
      <c r="C33" s="46"/>
      <c r="D33" s="46"/>
      <c r="E33" s="47">
        <f t="shared" si="0"/>
        <v>0</v>
      </c>
      <c r="F33" s="47"/>
      <c r="G33" s="47"/>
      <c r="H33" s="47"/>
      <c r="I33" s="47">
        <f t="shared" si="1"/>
        <v>0</v>
      </c>
      <c r="J33" s="46"/>
      <c r="K33" s="46"/>
      <c r="L33" s="46"/>
      <c r="M33" s="47">
        <f t="shared" si="2"/>
        <v>0</v>
      </c>
      <c r="N33" s="46"/>
      <c r="O33" s="46"/>
      <c r="P33" s="46"/>
      <c r="Q33" s="46">
        <f t="shared" si="6"/>
        <v>0</v>
      </c>
      <c r="R33" s="46"/>
      <c r="S33" s="46">
        <v>1153.02</v>
      </c>
      <c r="T33" s="46">
        <v>1153.02</v>
      </c>
      <c r="U33" s="46">
        <f t="shared" si="7"/>
        <v>0</v>
      </c>
      <c r="V33" s="46">
        <v>1153.02</v>
      </c>
      <c r="W33" s="46">
        <v>1153.02</v>
      </c>
      <c r="X33" s="46">
        <v>1153.02</v>
      </c>
      <c r="Y33" s="46">
        <f t="shared" si="8"/>
        <v>0</v>
      </c>
      <c r="Z33" s="46">
        <v>1153.02</v>
      </c>
      <c r="AA33" s="46">
        <v>1153.02</v>
      </c>
      <c r="AB33" s="46">
        <v>1153.02</v>
      </c>
      <c r="AC33" s="46">
        <f t="shared" si="9"/>
        <v>0</v>
      </c>
      <c r="AD33" s="46">
        <v>1153.02</v>
      </c>
      <c r="AE33" s="46">
        <v>1153.02</v>
      </c>
      <c r="AF33" s="46">
        <v>1153.02</v>
      </c>
      <c r="AG33" s="46">
        <f t="shared" si="10"/>
        <v>0</v>
      </c>
      <c r="AH33" s="46">
        <v>1153.02</v>
      </c>
      <c r="AI33" s="46">
        <v>1153.02</v>
      </c>
      <c r="AJ33" s="46">
        <v>1337.52</v>
      </c>
      <c r="AK33" s="46">
        <f t="shared" si="11"/>
        <v>184.5</v>
      </c>
    </row>
    <row r="34" spans="1:37" ht="18.600000000000001" customHeight="1" outlineLevel="1" x14ac:dyDescent="0.25">
      <c r="A34" s="24" t="s">
        <v>271</v>
      </c>
      <c r="B34" s="56" t="s">
        <v>312</v>
      </c>
      <c r="C34" s="46"/>
      <c r="D34" s="46"/>
      <c r="E34" s="47">
        <f t="shared" si="0"/>
        <v>0</v>
      </c>
      <c r="F34" s="47"/>
      <c r="G34" s="47"/>
      <c r="H34" s="47"/>
      <c r="I34" s="47">
        <f t="shared" si="1"/>
        <v>0</v>
      </c>
      <c r="J34" s="46"/>
      <c r="K34" s="46"/>
      <c r="L34" s="46"/>
      <c r="M34" s="47">
        <f t="shared" si="2"/>
        <v>0</v>
      </c>
      <c r="N34" s="46"/>
      <c r="O34" s="46"/>
      <c r="P34" s="46"/>
      <c r="Q34" s="46">
        <f t="shared" si="6"/>
        <v>0</v>
      </c>
      <c r="R34" s="46"/>
      <c r="S34" s="46"/>
      <c r="T34" s="46"/>
      <c r="U34" s="46">
        <f t="shared" si="7"/>
        <v>0</v>
      </c>
      <c r="V34" s="46"/>
      <c r="W34" s="46"/>
      <c r="X34" s="46"/>
      <c r="Y34" s="46">
        <f t="shared" si="8"/>
        <v>0</v>
      </c>
      <c r="Z34" s="46"/>
      <c r="AA34" s="46"/>
      <c r="AB34" s="46"/>
      <c r="AC34" s="46">
        <f t="shared" si="9"/>
        <v>0</v>
      </c>
      <c r="AD34" s="46"/>
      <c r="AE34" s="46"/>
      <c r="AF34" s="46"/>
      <c r="AG34" s="46">
        <f t="shared" si="10"/>
        <v>0</v>
      </c>
      <c r="AH34" s="46"/>
      <c r="AI34" s="46"/>
      <c r="AJ34" s="46"/>
      <c r="AK34" s="46">
        <f t="shared" si="11"/>
        <v>0</v>
      </c>
    </row>
    <row r="35" spans="1:37" outlineLevel="1" x14ac:dyDescent="0.25">
      <c r="A35" s="22" t="s">
        <v>95</v>
      </c>
      <c r="B35" s="61" t="s">
        <v>123</v>
      </c>
      <c r="C35" s="50">
        <v>30749.128992977749</v>
      </c>
      <c r="D35" s="50">
        <v>38164.400000000001</v>
      </c>
      <c r="E35" s="51">
        <f t="shared" si="0"/>
        <v>7415.2710070222529</v>
      </c>
      <c r="F35" s="51">
        <v>145940</v>
      </c>
      <c r="G35" s="51">
        <v>62049.24</v>
      </c>
      <c r="H35" s="51">
        <v>58510.5</v>
      </c>
      <c r="I35" s="51">
        <f t="shared" si="1"/>
        <v>-3538.739999999998</v>
      </c>
      <c r="J35" s="52">
        <v>154523.14000000001</v>
      </c>
      <c r="K35" s="52">
        <v>69936.67</v>
      </c>
      <c r="L35" s="52">
        <f>L7+L8+L10+L13+L16+L18+L20+L21</f>
        <v>70149.55</v>
      </c>
      <c r="M35" s="51">
        <f t="shared" si="2"/>
        <v>212.88000000000466</v>
      </c>
      <c r="N35" s="52">
        <v>81792.08</v>
      </c>
      <c r="O35" s="52">
        <v>71642.350000000006</v>
      </c>
      <c r="P35" s="52">
        <f>P7+P8+P10+P13+P16+P18+P20+P21</f>
        <v>62428.819999999992</v>
      </c>
      <c r="Q35" s="52">
        <f t="shared" si="6"/>
        <v>-9213.5300000000134</v>
      </c>
      <c r="R35" s="51">
        <f>R7+R8+R10+R13+R16+R18+R20+R21</f>
        <v>152485.32999999999</v>
      </c>
      <c r="S35" s="52">
        <f>S7+S8+S10+S13+S16+S18+S20+S21</f>
        <v>86158.720000000001</v>
      </c>
      <c r="T35" s="52">
        <f>T7+T8+T10+T13+T16+T18+T20+T21</f>
        <v>80544.260000000009</v>
      </c>
      <c r="U35" s="52">
        <f t="shared" si="7"/>
        <v>-5614.4599999999919</v>
      </c>
      <c r="V35" s="51">
        <f>V7+V8+V10+V13+V16+V18+V20+V21</f>
        <v>118031.80000000002</v>
      </c>
      <c r="W35" s="52">
        <f>W7+W8+W10+W13+W16+W18+W20+W21</f>
        <v>91079.01</v>
      </c>
      <c r="X35" s="51">
        <f>X7+X8+X10+X13+X16+X18+X20+X21</f>
        <v>93870.25</v>
      </c>
      <c r="Y35" s="52">
        <f t="shared" si="8"/>
        <v>2791.2400000000052</v>
      </c>
      <c r="Z35" s="51">
        <f>Z7+Z8+Z10+Z13+Z16+Z18+Z20+Z21</f>
        <v>123076.25</v>
      </c>
      <c r="AA35" s="52">
        <f>AA7+AA8+AA10+AA13+AA16+AA18+AA20+AA21</f>
        <v>84917.62</v>
      </c>
      <c r="AB35" s="51">
        <f>AB7+AB8+AB10+AB13+AB16+AB18+AB20+AB21</f>
        <v>108746.51000000001</v>
      </c>
      <c r="AC35" s="52">
        <f t="shared" si="9"/>
        <v>23828.890000000014</v>
      </c>
      <c r="AD35" s="51">
        <f>AD7+AD8+AD10+AD13+AD16+AD18+AD20+AD21</f>
        <v>90589.73</v>
      </c>
      <c r="AE35" s="52">
        <f>AE7+AE8+AE10+AE13+AE16+AE18+AE20+AE21</f>
        <v>83634.11</v>
      </c>
      <c r="AF35" s="51">
        <f>AF7+AF8+AF10+AF13+AF16+AF18+AF20+AF21</f>
        <v>102662.20999999999</v>
      </c>
      <c r="AG35" s="52">
        <f t="shared" si="10"/>
        <v>19028.099999999991</v>
      </c>
      <c r="AH35" s="51">
        <f>AH7+AH8+AH10+AH13+AH16+AH18+AH20+AH21</f>
        <v>93155.26</v>
      </c>
      <c r="AI35" s="52">
        <f>AI7+AI8+AI10+AI13+AI16+AI18+AI20+AI21</f>
        <v>85186.98000000001</v>
      </c>
      <c r="AJ35" s="51">
        <f>AJ7+AJ8+AJ10+AJ13+AJ16+AJ18+AJ20+AJ21</f>
        <v>109613.51999999999</v>
      </c>
      <c r="AK35" s="52">
        <f t="shared" si="11"/>
        <v>24426.539999999979</v>
      </c>
    </row>
    <row r="36" spans="1:37" ht="27" outlineLevel="1" x14ac:dyDescent="0.3">
      <c r="A36" s="22" t="s">
        <v>96</v>
      </c>
      <c r="B36" s="56" t="s">
        <v>124</v>
      </c>
      <c r="C36" s="46"/>
      <c r="D36" s="46"/>
      <c r="E36" s="47">
        <f t="shared" si="0"/>
        <v>0</v>
      </c>
      <c r="F36" s="47">
        <v>696.75</v>
      </c>
      <c r="G36" s="47">
        <v>2452.17</v>
      </c>
      <c r="H36" s="47"/>
      <c r="I36" s="47">
        <f t="shared" si="1"/>
        <v>-2452.17</v>
      </c>
      <c r="J36" s="46"/>
      <c r="K36" s="46">
        <v>1849.82</v>
      </c>
      <c r="L36" s="46"/>
      <c r="M36" s="47">
        <f t="shared" si="2"/>
        <v>-1849.82</v>
      </c>
      <c r="N36" s="46"/>
      <c r="O36" s="46"/>
      <c r="P36" s="46"/>
      <c r="Q36" s="46">
        <f t="shared" si="6"/>
        <v>0</v>
      </c>
      <c r="R36" s="46"/>
      <c r="S36" s="46">
        <v>10676.78</v>
      </c>
      <c r="T36" s="46"/>
      <c r="U36" s="46"/>
      <c r="V36" s="46">
        <v>10655.97</v>
      </c>
      <c r="W36" s="46">
        <v>-6347.52</v>
      </c>
      <c r="X36" s="46"/>
      <c r="Y36" s="46"/>
      <c r="Z36" s="46"/>
      <c r="AA36" s="46">
        <v>5847.4</v>
      </c>
      <c r="AB36" s="46"/>
      <c r="AC36" s="46"/>
      <c r="AD36" s="46"/>
      <c r="AE36" s="46">
        <v>725.24</v>
      </c>
      <c r="AF36" s="19">
        <v>1038.82</v>
      </c>
      <c r="AG36" s="46"/>
      <c r="AH36" s="46">
        <f>3592.04+1771.65</f>
        <v>5363.6900000000005</v>
      </c>
      <c r="AI36" s="46">
        <f>139.92+3460.55+506.35+1650.39</f>
        <v>5757.2100000000009</v>
      </c>
      <c r="AJ36" s="19"/>
      <c r="AK36" s="46"/>
    </row>
    <row r="37" spans="1:37" ht="24" customHeight="1" outlineLevel="1" x14ac:dyDescent="0.25">
      <c r="A37" s="22" t="s">
        <v>125</v>
      </c>
      <c r="B37" s="56" t="s">
        <v>126</v>
      </c>
      <c r="C37" s="46"/>
      <c r="D37" s="46"/>
      <c r="E37" s="47">
        <f t="shared" si="0"/>
        <v>0</v>
      </c>
      <c r="F37" s="47"/>
      <c r="G37" s="47"/>
      <c r="H37" s="47"/>
      <c r="I37" s="47">
        <f t="shared" si="1"/>
        <v>0</v>
      </c>
      <c r="J37" s="46"/>
      <c r="K37" s="46"/>
      <c r="L37" s="46"/>
      <c r="M37" s="47">
        <f t="shared" si="2"/>
        <v>0</v>
      </c>
      <c r="N37" s="46"/>
      <c r="O37" s="46">
        <v>-6378.51</v>
      </c>
      <c r="P37" s="46"/>
      <c r="Q37" s="46">
        <f t="shared" si="6"/>
        <v>6378.51</v>
      </c>
      <c r="R37" s="46"/>
      <c r="S37" s="46">
        <v>-22798.57</v>
      </c>
      <c r="T37" s="46"/>
      <c r="U37" s="46"/>
      <c r="V37" s="46"/>
      <c r="W37" s="46"/>
      <c r="X37" s="46"/>
      <c r="Y37" s="46"/>
      <c r="Z37" s="46"/>
      <c r="AA37" s="46">
        <v>298.66000000000003</v>
      </c>
      <c r="AB37" s="46"/>
      <c r="AC37" s="46"/>
      <c r="AD37" s="46"/>
      <c r="AE37" s="46"/>
      <c r="AF37" s="46"/>
      <c r="AG37" s="46"/>
      <c r="AH37" s="46"/>
      <c r="AI37" s="46"/>
      <c r="AJ37" s="46"/>
      <c r="AK37" s="46"/>
    </row>
    <row r="38" spans="1:37" outlineLevel="1" x14ac:dyDescent="0.25">
      <c r="A38" s="23" t="s">
        <v>127</v>
      </c>
      <c r="B38" s="56" t="s">
        <v>128</v>
      </c>
      <c r="C38" s="50">
        <v>30749.128992977749</v>
      </c>
      <c r="D38" s="50">
        <v>38164.400000000001</v>
      </c>
      <c r="E38" s="51">
        <f t="shared" si="0"/>
        <v>7415.2710070222529</v>
      </c>
      <c r="F38" s="51">
        <v>146636.79999999999</v>
      </c>
      <c r="G38" s="51">
        <v>64501.41</v>
      </c>
      <c r="H38" s="51">
        <v>58510.5</v>
      </c>
      <c r="I38" s="51">
        <f t="shared" si="1"/>
        <v>-5990.9100000000035</v>
      </c>
      <c r="J38" s="52">
        <v>154523.14000000001</v>
      </c>
      <c r="K38" s="52">
        <v>71786.490000000005</v>
      </c>
      <c r="L38" s="52">
        <f>L35+L36</f>
        <v>70149.55</v>
      </c>
      <c r="M38" s="51">
        <f t="shared" si="2"/>
        <v>-1636.9400000000023</v>
      </c>
      <c r="N38" s="52">
        <v>81792.08</v>
      </c>
      <c r="O38" s="52">
        <v>65263.85</v>
      </c>
      <c r="P38" s="52">
        <f>P35+P36</f>
        <v>62428.819999999992</v>
      </c>
      <c r="Q38" s="52">
        <f>P38-O38</f>
        <v>-2835.0300000000061</v>
      </c>
      <c r="R38" s="51">
        <f>R35+R37</f>
        <v>152485.32999999999</v>
      </c>
      <c r="S38" s="52">
        <f>S35+S37+S36</f>
        <v>74036.930000000008</v>
      </c>
      <c r="T38" s="52">
        <f>T35+T36</f>
        <v>80544.260000000009</v>
      </c>
      <c r="U38" s="52">
        <f>T38-S38</f>
        <v>6507.3300000000017</v>
      </c>
      <c r="V38" s="51">
        <f>V35+V37+V36</f>
        <v>128687.77000000002</v>
      </c>
      <c r="W38" s="52">
        <f>W35+W37+W36</f>
        <v>84731.489999999991</v>
      </c>
      <c r="X38" s="52">
        <f>X35+X36</f>
        <v>93870.25</v>
      </c>
      <c r="Y38" s="52">
        <f>X38-W38</f>
        <v>9138.7600000000093</v>
      </c>
      <c r="Z38" s="51">
        <f>Z35+Z37+Z36</f>
        <v>123076.25</v>
      </c>
      <c r="AA38" s="52">
        <f>AA35+AA37+AA36</f>
        <v>91063.679999999993</v>
      </c>
      <c r="AB38" s="52">
        <f>AB35+AB36</f>
        <v>108746.51000000001</v>
      </c>
      <c r="AC38" s="52">
        <f>AB38-AA38</f>
        <v>17682.830000000016</v>
      </c>
      <c r="AD38" s="51">
        <f>AD35+AD37+AD36</f>
        <v>90589.73</v>
      </c>
      <c r="AE38" s="52">
        <f>AE35+AE37+AE36</f>
        <v>84359.35</v>
      </c>
      <c r="AF38" s="52">
        <f>AF35+AF36</f>
        <v>103701.03</v>
      </c>
      <c r="AG38" s="52">
        <f>AF38-AE38</f>
        <v>19341.679999999993</v>
      </c>
      <c r="AH38" s="51">
        <f>AH35+AH37+AH36</f>
        <v>98518.95</v>
      </c>
      <c r="AI38" s="51">
        <f>AI35+AI37+AI36</f>
        <v>90944.190000000017</v>
      </c>
      <c r="AJ38" s="51">
        <f>AJ35+AJ36</f>
        <v>109613.51999999999</v>
      </c>
      <c r="AK38" s="52">
        <f>AJ38-AI38</f>
        <v>18669.329999999973</v>
      </c>
    </row>
    <row r="39" spans="1:37" outlineLevel="1" x14ac:dyDescent="0.25">
      <c r="A39" s="22"/>
      <c r="B39" s="56" t="s">
        <v>129</v>
      </c>
      <c r="C39" s="46"/>
      <c r="D39" s="46"/>
      <c r="E39" s="47">
        <f t="shared" si="0"/>
        <v>0</v>
      </c>
      <c r="F39" s="47"/>
      <c r="G39" s="47"/>
      <c r="H39" s="47"/>
      <c r="I39" s="47">
        <f t="shared" si="1"/>
        <v>0</v>
      </c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46"/>
      <c r="V39" s="46"/>
      <c r="W39" s="46"/>
      <c r="X39" s="46"/>
      <c r="Y39" s="46"/>
      <c r="Z39" s="46"/>
      <c r="AA39" s="46"/>
      <c r="AB39" s="46"/>
      <c r="AC39" s="46"/>
      <c r="AD39" s="46"/>
      <c r="AE39" s="46"/>
      <c r="AF39" s="46"/>
      <c r="AG39" s="46"/>
      <c r="AH39" s="46"/>
      <c r="AI39" s="46"/>
      <c r="AJ39" s="46"/>
      <c r="AK39" s="46"/>
    </row>
    <row r="40" spans="1:37" outlineLevel="1" x14ac:dyDescent="0.25">
      <c r="A40" s="24" t="s">
        <v>130</v>
      </c>
      <c r="B40" s="56" t="s">
        <v>131</v>
      </c>
      <c r="C40" s="46"/>
      <c r="D40" s="46"/>
      <c r="E40" s="47">
        <f t="shared" si="0"/>
        <v>0</v>
      </c>
      <c r="F40" s="47"/>
      <c r="G40" s="47"/>
      <c r="H40" s="47"/>
      <c r="I40" s="47">
        <f t="shared" si="1"/>
        <v>0</v>
      </c>
      <c r="J40" s="46"/>
      <c r="K40" s="46"/>
      <c r="L40" s="46"/>
      <c r="M40" s="46"/>
      <c r="N40" s="46"/>
      <c r="O40" s="46"/>
      <c r="P40" s="46"/>
      <c r="Q40" s="46"/>
      <c r="R40" s="46"/>
      <c r="S40" s="46"/>
      <c r="T40" s="46"/>
      <c r="U40" s="46"/>
      <c r="V40" s="46"/>
      <c r="W40" s="46"/>
      <c r="X40" s="46"/>
      <c r="Y40" s="46"/>
      <c r="Z40" s="46"/>
      <c r="AA40" s="46"/>
      <c r="AB40" s="46"/>
      <c r="AC40" s="46"/>
      <c r="AD40" s="46"/>
      <c r="AE40" s="46"/>
      <c r="AF40" s="46"/>
      <c r="AG40" s="46"/>
      <c r="AH40" s="46"/>
      <c r="AI40" s="46"/>
      <c r="AJ40" s="46"/>
      <c r="AK40" s="46"/>
    </row>
    <row r="41" spans="1:37" outlineLevel="1" x14ac:dyDescent="0.25">
      <c r="A41" s="22" t="s">
        <v>132</v>
      </c>
      <c r="B41" s="56" t="s">
        <v>133</v>
      </c>
      <c r="C41" s="46"/>
      <c r="D41" s="46"/>
      <c r="E41" s="47">
        <f t="shared" si="0"/>
        <v>0</v>
      </c>
      <c r="F41" s="47"/>
      <c r="G41" s="47"/>
      <c r="H41" s="47"/>
      <c r="I41" s="47">
        <f t="shared" si="1"/>
        <v>0</v>
      </c>
      <c r="J41" s="46"/>
      <c r="K41" s="46"/>
      <c r="L41" s="46"/>
      <c r="M41" s="46"/>
      <c r="N41" s="46"/>
      <c r="O41" s="46"/>
      <c r="P41" s="46"/>
      <c r="Q41" s="46"/>
      <c r="R41" s="46"/>
      <c r="S41" s="46"/>
      <c r="T41" s="46"/>
      <c r="U41" s="46"/>
      <c r="V41" s="46"/>
      <c r="W41" s="46"/>
      <c r="X41" s="46"/>
      <c r="Y41" s="46"/>
      <c r="Z41" s="46"/>
      <c r="AA41" s="46"/>
      <c r="AB41" s="46"/>
      <c r="AC41" s="46"/>
      <c r="AD41" s="46"/>
      <c r="AE41" s="46"/>
      <c r="AF41" s="46"/>
      <c r="AG41" s="46"/>
      <c r="AH41" s="46"/>
      <c r="AI41" s="46"/>
      <c r="AJ41" s="46"/>
      <c r="AK41" s="46"/>
    </row>
    <row r="42" spans="1:37" outlineLevel="1" x14ac:dyDescent="0.25">
      <c r="A42" s="22" t="s">
        <v>134</v>
      </c>
      <c r="B42" s="56" t="s">
        <v>135</v>
      </c>
      <c r="C42" s="46"/>
      <c r="D42" s="46"/>
      <c r="E42" s="47">
        <f t="shared" si="0"/>
        <v>0</v>
      </c>
      <c r="F42" s="47"/>
      <c r="G42" s="47"/>
      <c r="H42" s="47"/>
      <c r="I42" s="47">
        <f t="shared" si="1"/>
        <v>0</v>
      </c>
      <c r="J42" s="46"/>
      <c r="K42" s="46"/>
      <c r="L42" s="46"/>
      <c r="M42" s="46"/>
      <c r="N42" s="46"/>
      <c r="O42" s="46"/>
      <c r="P42" s="46"/>
      <c r="Q42" s="46"/>
      <c r="R42" s="46"/>
      <c r="S42" s="46"/>
      <c r="T42" s="46"/>
      <c r="U42" s="46"/>
      <c r="V42" s="46"/>
      <c r="W42" s="46"/>
      <c r="X42" s="46"/>
      <c r="Y42" s="46"/>
      <c r="Z42" s="46"/>
      <c r="AA42" s="46"/>
      <c r="AB42" s="46"/>
      <c r="AC42" s="46"/>
      <c r="AD42" s="46"/>
      <c r="AE42" s="46"/>
      <c r="AF42" s="46"/>
      <c r="AG42" s="46"/>
      <c r="AH42" s="46"/>
      <c r="AI42" s="46"/>
      <c r="AJ42" s="46"/>
      <c r="AK42" s="46"/>
    </row>
    <row r="43" spans="1:37" outlineLevel="1" x14ac:dyDescent="0.25">
      <c r="A43" s="101" t="s">
        <v>313</v>
      </c>
      <c r="B43" s="56" t="s">
        <v>257</v>
      </c>
      <c r="C43" s="46"/>
      <c r="D43" s="46"/>
      <c r="E43" s="47"/>
      <c r="F43" s="47"/>
      <c r="G43" s="47"/>
      <c r="H43" s="47"/>
      <c r="I43" s="47"/>
      <c r="J43" s="46"/>
      <c r="K43" s="46"/>
      <c r="L43" s="46"/>
      <c r="M43" s="46"/>
      <c r="N43" s="46"/>
      <c r="O43" s="46"/>
      <c r="P43" s="46"/>
      <c r="Q43" s="46"/>
      <c r="R43" s="46"/>
      <c r="S43" s="46"/>
      <c r="T43" s="46"/>
      <c r="U43" s="46"/>
      <c r="V43" s="46">
        <v>81258.77</v>
      </c>
      <c r="W43" s="46"/>
      <c r="X43" s="46">
        <v>11486.51</v>
      </c>
      <c r="Y43" s="52">
        <f>X43-W43</f>
        <v>11486.51</v>
      </c>
      <c r="Z43" s="46">
        <v>28764.36</v>
      </c>
      <c r="AA43" s="46"/>
      <c r="AB43" s="46"/>
      <c r="AC43" s="52">
        <f>AB43-AA43</f>
        <v>0</v>
      </c>
      <c r="AD43" s="46"/>
      <c r="AE43" s="46"/>
      <c r="AF43" s="46"/>
      <c r="AG43" s="52">
        <f>AF43-AE43</f>
        <v>0</v>
      </c>
      <c r="AH43" s="46"/>
      <c r="AI43" s="46"/>
      <c r="AJ43" s="46"/>
      <c r="AK43" s="52">
        <f>AJ43-AI43</f>
        <v>0</v>
      </c>
    </row>
    <row r="44" spans="1:37" outlineLevel="1" x14ac:dyDescent="0.25">
      <c r="A44" s="102" t="s">
        <v>314</v>
      </c>
      <c r="B44" s="62" t="s">
        <v>136</v>
      </c>
      <c r="C44" s="50">
        <v>187.37187392541315</v>
      </c>
      <c r="D44" s="50">
        <v>35</v>
      </c>
      <c r="E44" s="51">
        <f t="shared" si="0"/>
        <v>-152.37187392541315</v>
      </c>
      <c r="F44" s="51">
        <v>14240</v>
      </c>
      <c r="G44" s="51">
        <v>231.15</v>
      </c>
      <c r="H44" s="51">
        <v>119.6</v>
      </c>
      <c r="I44" s="51">
        <f t="shared" si="1"/>
        <v>-111.55000000000001</v>
      </c>
      <c r="J44" s="52">
        <v>28522</v>
      </c>
      <c r="K44" s="52">
        <v>7760.04</v>
      </c>
      <c r="L44" s="52">
        <v>770.29</v>
      </c>
      <c r="M44" s="51">
        <f>L44-K44</f>
        <v>-6989.75</v>
      </c>
      <c r="N44" s="52">
        <v>8274.01</v>
      </c>
      <c r="O44" s="52">
        <v>8587.8799999999992</v>
      </c>
      <c r="P44" s="52">
        <v>343.67</v>
      </c>
      <c r="Q44" s="52">
        <f>P44-O44</f>
        <v>-8244.2099999999991</v>
      </c>
      <c r="R44" s="52">
        <v>13160.61</v>
      </c>
      <c r="S44" s="52">
        <v>628.74</v>
      </c>
      <c r="T44" s="52">
        <v>323.64</v>
      </c>
      <c r="U44" s="52">
        <f>T44-S44</f>
        <v>-305.10000000000002</v>
      </c>
      <c r="V44" s="52">
        <f>424.96+96.53+106.24</f>
        <v>627.73</v>
      </c>
      <c r="W44" s="52">
        <f>101.3+445.93+111.48</f>
        <v>658.71</v>
      </c>
      <c r="X44" s="52">
        <v>558.32000000000005</v>
      </c>
      <c r="Y44" s="52">
        <f>X44-W44</f>
        <v>-100.38999999999999</v>
      </c>
      <c r="Z44" s="51">
        <f>424.28+96.38+106.24</f>
        <v>626.9</v>
      </c>
      <c r="AA44" s="52">
        <f>100.24+441.28+110.32</f>
        <v>651.83999999999992</v>
      </c>
      <c r="AB44" s="52">
        <v>783.95</v>
      </c>
      <c r="AC44" s="52">
        <f>AB44-AA44</f>
        <v>132.11000000000013</v>
      </c>
      <c r="AD44" s="51">
        <f>423.6+96.22+105.9</f>
        <v>625.72</v>
      </c>
      <c r="AE44" s="52">
        <f>109.72+99.69+438.88</f>
        <v>648.29</v>
      </c>
      <c r="AF44" s="52">
        <v>1635.08</v>
      </c>
      <c r="AG44" s="52">
        <f>AF44-AE44</f>
        <v>986.79</v>
      </c>
      <c r="AH44" s="51">
        <f>105.73+422.92+96.07</f>
        <v>624.72</v>
      </c>
      <c r="AI44" s="52">
        <f>109.86+439.44+99.82</f>
        <v>649.11999999999989</v>
      </c>
      <c r="AJ44" s="52">
        <v>1697.85</v>
      </c>
      <c r="AK44" s="52">
        <f>AJ44-AI44</f>
        <v>1048.73</v>
      </c>
    </row>
    <row r="45" spans="1:37" outlineLevel="1" x14ac:dyDescent="0.25">
      <c r="A45" s="103">
        <v>15</v>
      </c>
      <c r="B45" s="61" t="s">
        <v>315</v>
      </c>
      <c r="C45" s="50">
        <v>30936.500866903163</v>
      </c>
      <c r="D45" s="50">
        <f>D38+D44</f>
        <v>38199.4</v>
      </c>
      <c r="E45" s="51">
        <f t="shared" si="0"/>
        <v>7262.8991330968383</v>
      </c>
      <c r="F45" s="51">
        <v>160876.79999999999</v>
      </c>
      <c r="G45" s="51">
        <v>64732.56</v>
      </c>
      <c r="H45" s="51">
        <v>58630.1</v>
      </c>
      <c r="I45" s="51">
        <f t="shared" si="1"/>
        <v>-6102.4599999999991</v>
      </c>
      <c r="J45" s="52">
        <v>183045.14</v>
      </c>
      <c r="K45" s="52">
        <v>79546.53</v>
      </c>
      <c r="L45" s="52">
        <f>L38+L44</f>
        <v>70919.839999999997</v>
      </c>
      <c r="M45" s="51">
        <f>L45-K45</f>
        <v>-8626.6900000000023</v>
      </c>
      <c r="N45" s="52">
        <v>90066.09</v>
      </c>
      <c r="O45" s="52">
        <v>73851.73</v>
      </c>
      <c r="P45" s="52">
        <f>P38+P44</f>
        <v>62772.489999999991</v>
      </c>
      <c r="Q45" s="52">
        <f>P45-O45</f>
        <v>-11079.240000000005</v>
      </c>
      <c r="R45" s="51">
        <f>R38+R44</f>
        <v>165645.94</v>
      </c>
      <c r="S45" s="52">
        <v>74665.649999999994</v>
      </c>
      <c r="T45" s="52">
        <f>T38+T44</f>
        <v>80867.900000000009</v>
      </c>
      <c r="U45" s="52">
        <f>T45-S45</f>
        <v>6202.2500000000146</v>
      </c>
      <c r="V45" s="51">
        <f>V38+V44+V43</f>
        <v>210574.27000000002</v>
      </c>
      <c r="W45" s="51">
        <f>W38+W44+W43</f>
        <v>85390.2</v>
      </c>
      <c r="X45" s="52">
        <f>X38+X44+X43</f>
        <v>105915.08</v>
      </c>
      <c r="Y45" s="52">
        <f>X45-W45</f>
        <v>20524.880000000005</v>
      </c>
      <c r="Z45" s="51">
        <f>Z38+Z44+Z43</f>
        <v>152467.51</v>
      </c>
      <c r="AA45" s="51">
        <f>AA38+AA44+AA43</f>
        <v>91715.51999999999</v>
      </c>
      <c r="AB45" s="51">
        <f>AB38+AB44+AB43</f>
        <v>109530.46</v>
      </c>
      <c r="AC45" s="52">
        <f>AB45-AA45</f>
        <v>17814.940000000017</v>
      </c>
      <c r="AD45" s="51">
        <f>AD38+AD44+AD43</f>
        <v>91215.45</v>
      </c>
      <c r="AE45" s="51">
        <f>AE38+AE44+AE43</f>
        <v>85007.64</v>
      </c>
      <c r="AF45" s="51">
        <f>AF38+AF44+AF43</f>
        <v>105336.11</v>
      </c>
      <c r="AG45" s="52">
        <f>AF45-AE45</f>
        <v>20328.47</v>
      </c>
      <c r="AH45" s="51">
        <f>AH38+AH44+AH43</f>
        <v>99143.67</v>
      </c>
      <c r="AI45" s="51">
        <f>AI38+AI44+AI43</f>
        <v>91593.310000000012</v>
      </c>
      <c r="AJ45" s="51">
        <f>AJ38+AJ44+AJ43</f>
        <v>111311.37</v>
      </c>
      <c r="AK45" s="52">
        <f>AJ45-AI45</f>
        <v>19718.059999999983</v>
      </c>
    </row>
    <row r="46" spans="1:37" ht="15.6" outlineLevel="1" x14ac:dyDescent="0.3">
      <c r="A46" s="104">
        <v>16</v>
      </c>
      <c r="B46" s="52" t="s">
        <v>316</v>
      </c>
      <c r="C46" s="105"/>
      <c r="D46" s="105"/>
      <c r="E46" s="48"/>
      <c r="F46" s="46"/>
      <c r="G46" s="106">
        <v>20602.45</v>
      </c>
      <c r="H46" s="106">
        <v>26786</v>
      </c>
      <c r="I46" s="51">
        <f t="shared" si="1"/>
        <v>6183.5499999999993</v>
      </c>
      <c r="J46" s="46"/>
      <c r="K46" s="52">
        <v>21312.65</v>
      </c>
      <c r="L46" s="52">
        <v>30804.3</v>
      </c>
      <c r="M46" s="51">
        <f>L46-K46</f>
        <v>9491.6499999999978</v>
      </c>
      <c r="N46" s="46"/>
      <c r="O46" s="106">
        <v>20939.8</v>
      </c>
      <c r="P46" s="106">
        <v>34167.550000000003</v>
      </c>
      <c r="Q46" s="52">
        <f>P46-O46</f>
        <v>13227.750000000004</v>
      </c>
      <c r="R46" s="52">
        <v>24105.65</v>
      </c>
      <c r="S46" s="52">
        <v>24105.65</v>
      </c>
      <c r="T46" s="52">
        <v>33537.24</v>
      </c>
      <c r="U46" s="52">
        <f>T46-S46</f>
        <v>9431.5899999999965</v>
      </c>
      <c r="V46" s="52">
        <v>26852.71</v>
      </c>
      <c r="W46" s="52">
        <v>26852.71</v>
      </c>
      <c r="X46" s="52">
        <v>28412.82</v>
      </c>
      <c r="Y46" s="52">
        <f>X46-W46</f>
        <v>1560.1100000000006</v>
      </c>
      <c r="Z46" s="52">
        <v>26565.572</v>
      </c>
      <c r="AA46" s="52">
        <v>26565.572</v>
      </c>
      <c r="AB46" s="52">
        <v>27299.68</v>
      </c>
      <c r="AC46" s="52">
        <f>AB46-AA46</f>
        <v>734.10800000000017</v>
      </c>
      <c r="AD46" s="52">
        <v>26565.572</v>
      </c>
      <c r="AE46" s="52">
        <v>26565.572</v>
      </c>
      <c r="AF46" s="52">
        <v>24125.19</v>
      </c>
      <c r="AG46" s="52">
        <f>AF46-AE46</f>
        <v>-2440.3820000000014</v>
      </c>
      <c r="AH46" s="52"/>
      <c r="AI46" s="52">
        <v>29479.35</v>
      </c>
      <c r="AJ46" s="52">
        <v>26350.91</v>
      </c>
      <c r="AK46" s="52">
        <f>AJ46-AI46</f>
        <v>-3128.4399999999987</v>
      </c>
    </row>
    <row r="47" spans="1:37" outlineLevel="1" x14ac:dyDescent="0.25">
      <c r="A47" s="107">
        <v>17</v>
      </c>
      <c r="B47" s="52" t="s">
        <v>317</v>
      </c>
      <c r="C47" s="46"/>
      <c r="D47" s="46"/>
      <c r="E47" s="46"/>
      <c r="F47" s="46"/>
      <c r="G47" s="106">
        <v>85335.01</v>
      </c>
      <c r="H47" s="106">
        <v>85416.1</v>
      </c>
      <c r="I47" s="51">
        <f t="shared" si="1"/>
        <v>81.090000000011059</v>
      </c>
      <c r="J47" s="46"/>
      <c r="K47" s="106">
        <v>100859.18</v>
      </c>
      <c r="L47" s="106">
        <v>101724.14</v>
      </c>
      <c r="M47" s="51">
        <f>L47-K47</f>
        <v>864.9600000000064</v>
      </c>
      <c r="N47" s="46"/>
      <c r="O47" s="106">
        <v>94791.53</v>
      </c>
      <c r="P47" s="106">
        <v>109226.18</v>
      </c>
      <c r="Q47" s="52">
        <f>P47-O47</f>
        <v>14434.649999999994</v>
      </c>
      <c r="R47" s="52">
        <f>R45+R46</f>
        <v>189751.59</v>
      </c>
      <c r="S47" s="52">
        <f>S45+S46</f>
        <v>98771.299999999988</v>
      </c>
      <c r="T47" s="52">
        <f>T45+T46</f>
        <v>114405.14000000001</v>
      </c>
      <c r="U47" s="52">
        <f>T47-S47</f>
        <v>15633.840000000026</v>
      </c>
      <c r="V47" s="52">
        <f>V45+V46</f>
        <v>237426.98</v>
      </c>
      <c r="W47" s="52">
        <f>W45+W46</f>
        <v>112242.91</v>
      </c>
      <c r="X47" s="51">
        <f>X45+X46</f>
        <v>134327.9</v>
      </c>
      <c r="Y47" s="52">
        <f>X47-W47</f>
        <v>22084.989999999991</v>
      </c>
      <c r="Z47" s="52">
        <f>Z45+Z46</f>
        <v>179033.08199999999</v>
      </c>
      <c r="AA47" s="52">
        <f>AA45+AA46</f>
        <v>118281.09199999999</v>
      </c>
      <c r="AB47" s="51">
        <f>AB45+AB46</f>
        <v>136830.14000000001</v>
      </c>
      <c r="AC47" s="52">
        <f>AB47-AA47</f>
        <v>18549.048000000024</v>
      </c>
      <c r="AD47" s="52">
        <f>AD45+AD46</f>
        <v>117781.022</v>
      </c>
      <c r="AE47" s="52">
        <f>AE45+AE46</f>
        <v>111573.212</v>
      </c>
      <c r="AF47" s="51">
        <f>AF45+AF46</f>
        <v>129461.3</v>
      </c>
      <c r="AG47" s="52">
        <f>AF47-AE47</f>
        <v>17888.088000000003</v>
      </c>
      <c r="AH47" s="52">
        <f>AH45+AH46</f>
        <v>99143.67</v>
      </c>
      <c r="AI47" s="52">
        <f>AI45+AI46</f>
        <v>121072.66</v>
      </c>
      <c r="AJ47" s="51">
        <f>AJ45+AJ46</f>
        <v>137662.28</v>
      </c>
      <c r="AK47" s="52">
        <f>AJ47-AI47</f>
        <v>16589.619999999995</v>
      </c>
    </row>
    <row r="48" spans="1:37" outlineLevel="1" x14ac:dyDescent="0.25">
      <c r="A48" s="107">
        <v>18</v>
      </c>
      <c r="B48" s="52" t="s">
        <v>318</v>
      </c>
      <c r="C48" s="46"/>
      <c r="D48" s="46"/>
      <c r="E48" s="46"/>
      <c r="F48" s="46"/>
      <c r="G48" s="106"/>
      <c r="H48" s="106">
        <v>82182</v>
      </c>
      <c r="I48" s="46"/>
      <c r="J48" s="46"/>
      <c r="K48" s="46"/>
      <c r="L48" s="108">
        <v>97994</v>
      </c>
      <c r="M48" s="51"/>
      <c r="N48" s="46"/>
      <c r="O48" s="106"/>
      <c r="P48" s="106">
        <v>70452.45</v>
      </c>
      <c r="Q48" s="46"/>
      <c r="R48" s="52"/>
      <c r="S48" s="52"/>
      <c r="T48" s="52">
        <v>103082.7</v>
      </c>
      <c r="U48" s="46"/>
      <c r="V48" s="52"/>
      <c r="W48" s="52"/>
      <c r="X48" s="52">
        <v>112280.9</v>
      </c>
      <c r="Y48" s="46"/>
      <c r="Z48" s="52"/>
      <c r="AA48" s="52"/>
      <c r="AB48" s="52">
        <v>118172.53</v>
      </c>
      <c r="AC48" s="46"/>
      <c r="AD48" s="52"/>
      <c r="AE48" s="52"/>
      <c r="AF48" s="52">
        <v>112299.98</v>
      </c>
      <c r="AG48" s="46"/>
      <c r="AH48" s="52"/>
      <c r="AI48" s="52"/>
      <c r="AJ48" s="51">
        <v>124657.68</v>
      </c>
      <c r="AK48" s="46"/>
    </row>
    <row r="49" spans="1:37" outlineLevel="1" x14ac:dyDescent="0.25">
      <c r="A49" s="107">
        <v>19</v>
      </c>
      <c r="B49" s="52" t="s">
        <v>319</v>
      </c>
      <c r="C49" s="46"/>
      <c r="D49" s="46"/>
      <c r="E49" s="46"/>
      <c r="F49" s="46"/>
      <c r="G49" s="106"/>
      <c r="H49" s="106" t="s">
        <v>320</v>
      </c>
      <c r="I49" s="46"/>
      <c r="J49" s="46"/>
      <c r="K49" s="46"/>
      <c r="L49" s="109" t="s">
        <v>321</v>
      </c>
      <c r="M49" s="51"/>
      <c r="N49" s="46"/>
      <c r="O49" s="106"/>
      <c r="P49" s="106" t="s">
        <v>322</v>
      </c>
      <c r="Q49" s="46"/>
      <c r="R49" s="52"/>
      <c r="S49" s="52"/>
      <c r="T49" s="106" t="s">
        <v>323</v>
      </c>
      <c r="U49" s="46"/>
      <c r="V49" s="52"/>
      <c r="W49" s="52"/>
      <c r="X49" s="106">
        <v>-7197</v>
      </c>
      <c r="Y49" s="46"/>
      <c r="Z49" s="52"/>
      <c r="AA49" s="52"/>
      <c r="AB49" s="106">
        <v>-19723</v>
      </c>
      <c r="AC49" s="46"/>
      <c r="AD49" s="52"/>
      <c r="AE49" s="52"/>
      <c r="AF49" s="106">
        <v>-16508</v>
      </c>
      <c r="AG49" s="46"/>
      <c r="AH49" s="52"/>
      <c r="AI49" s="52"/>
      <c r="AJ49" s="106">
        <v>-11574</v>
      </c>
      <c r="AK49" s="46"/>
    </row>
    <row r="51" spans="1:37" x14ac:dyDescent="0.25">
      <c r="A51" s="2" t="s">
        <v>0</v>
      </c>
      <c r="B51" s="110" t="s">
        <v>149</v>
      </c>
    </row>
  </sheetData>
  <mergeCells count="27">
    <mergeCell ref="AG4:AG5"/>
    <mergeCell ref="V4:W4"/>
    <mergeCell ref="X4:X5"/>
    <mergeCell ref="Y4:Y5"/>
    <mergeCell ref="Z4:AA4"/>
    <mergeCell ref="AB4:AB5"/>
    <mergeCell ref="A2:C2"/>
    <mergeCell ref="A4:A5"/>
    <mergeCell ref="B4:B5"/>
    <mergeCell ref="F4:G4"/>
    <mergeCell ref="H4:H5"/>
    <mergeCell ref="AH4:AI4"/>
    <mergeCell ref="AJ4:AJ5"/>
    <mergeCell ref="AK4:AK5"/>
    <mergeCell ref="I4:I5"/>
    <mergeCell ref="J4:K4"/>
    <mergeCell ref="L4:L5"/>
    <mergeCell ref="M4:M5"/>
    <mergeCell ref="N4:O4"/>
    <mergeCell ref="P4:P5"/>
    <mergeCell ref="Q4:Q5"/>
    <mergeCell ref="R4:S4"/>
    <mergeCell ref="T4:T5"/>
    <mergeCell ref="U4:U5"/>
    <mergeCell ref="AC4:AC5"/>
    <mergeCell ref="AD4:AE4"/>
    <mergeCell ref="AF4:AF5"/>
  </mergeCells>
  <pageMargins left="0.70866141732283472" right="0.70866141732283472" top="0.19685039370078741" bottom="0.15748031496062992" header="0.31496062992125984" footer="0.31496062992125984"/>
  <pageSetup paperSize="9" scale="8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9"/>
  <sheetViews>
    <sheetView workbookViewId="0">
      <selection activeCell="Q1" sqref="Q1"/>
    </sheetView>
  </sheetViews>
  <sheetFormatPr defaultColWidth="8.77734375" defaultRowHeight="14.4" outlineLevelCol="3" x14ac:dyDescent="0.3"/>
  <cols>
    <col min="1" max="1" width="7.77734375" style="1" customWidth="1"/>
    <col min="2" max="2" width="35.33203125" style="1" customWidth="1"/>
    <col min="3" max="3" width="9" style="1" hidden="1" customWidth="1" outlineLevel="3"/>
    <col min="4" max="4" width="9.21875" style="1" hidden="1" customWidth="1" outlineLevel="3"/>
    <col min="5" max="5" width="8.6640625" style="1" hidden="1" customWidth="1" outlineLevel="3"/>
    <col min="6" max="8" width="8.77734375" style="1" hidden="1" customWidth="1" outlineLevel="3"/>
    <col min="9" max="9" width="9.109375" style="1" hidden="1" customWidth="1" outlineLevel="2"/>
    <col min="10" max="10" width="9.88671875" style="1" hidden="1" customWidth="1" outlineLevel="2"/>
    <col min="11" max="12" width="9.44140625" style="1" hidden="1" customWidth="1" outlineLevel="1"/>
    <col min="13" max="13" width="8.77734375" style="1" hidden="1" customWidth="1" outlineLevel="1"/>
    <col min="14" max="14" width="9.77734375" style="1" hidden="1" customWidth="1" outlineLevel="1"/>
    <col min="15" max="15" width="10.5546875" style="1" hidden="1" customWidth="1" outlineLevel="1"/>
    <col min="16" max="16" width="9.33203125" style="1" customWidth="1" collapsed="1"/>
    <col min="17" max="17" width="10" style="1" customWidth="1"/>
    <col min="18" max="18" width="8.88671875" style="1" customWidth="1"/>
    <col min="19" max="19" width="10.109375" style="1" customWidth="1"/>
    <col min="20" max="16384" width="8.77734375" style="1"/>
  </cols>
  <sheetData>
    <row r="1" spans="1:19" ht="39.6" customHeight="1" x14ac:dyDescent="0.3">
      <c r="A1" s="124" t="s">
        <v>147</v>
      </c>
      <c r="B1" s="124"/>
      <c r="C1" s="124"/>
      <c r="D1" s="124"/>
      <c r="E1" s="124"/>
      <c r="F1" s="124"/>
      <c r="G1" s="124"/>
      <c r="H1" s="124"/>
      <c r="I1" s="124"/>
      <c r="J1" s="124"/>
    </row>
    <row r="2" spans="1:19" ht="25.2" customHeight="1" x14ac:dyDescent="0.3">
      <c r="A2" s="160" t="s">
        <v>342</v>
      </c>
      <c r="B2" s="160"/>
      <c r="C2" s="160"/>
      <c r="D2" s="160"/>
      <c r="J2" s="1" t="s">
        <v>97</v>
      </c>
    </row>
    <row r="3" spans="1:19" ht="30.6" customHeight="1" x14ac:dyDescent="0.3">
      <c r="A3" s="19" t="s">
        <v>137</v>
      </c>
      <c r="B3" s="19" t="s">
        <v>86</v>
      </c>
      <c r="C3" s="19" t="s">
        <v>172</v>
      </c>
      <c r="D3" s="20" t="s">
        <v>269</v>
      </c>
      <c r="E3" s="19" t="s">
        <v>171</v>
      </c>
      <c r="F3" s="20" t="s">
        <v>278</v>
      </c>
      <c r="G3" s="19" t="s">
        <v>293</v>
      </c>
      <c r="H3" s="20" t="s">
        <v>294</v>
      </c>
      <c r="I3" s="19" t="s">
        <v>295</v>
      </c>
      <c r="J3" s="20" t="s">
        <v>296</v>
      </c>
      <c r="K3" s="19" t="s">
        <v>279</v>
      </c>
      <c r="L3" s="20" t="s">
        <v>297</v>
      </c>
      <c r="M3" s="19" t="s">
        <v>280</v>
      </c>
      <c r="N3" s="20" t="s">
        <v>298</v>
      </c>
      <c r="O3" s="99" t="s">
        <v>303</v>
      </c>
      <c r="P3" s="19" t="s">
        <v>281</v>
      </c>
      <c r="Q3" s="20" t="s">
        <v>326</v>
      </c>
      <c r="R3" s="19" t="s">
        <v>282</v>
      </c>
      <c r="S3" s="20" t="s">
        <v>331</v>
      </c>
    </row>
    <row r="4" spans="1:19" x14ac:dyDescent="0.3">
      <c r="A4" s="19">
        <v>1</v>
      </c>
      <c r="B4" s="18" t="s">
        <v>138</v>
      </c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</row>
    <row r="5" spans="1:19" x14ac:dyDescent="0.3">
      <c r="A5" s="72" t="s">
        <v>173</v>
      </c>
      <c r="B5" s="27" t="s">
        <v>174</v>
      </c>
      <c r="C5" s="27">
        <v>2154.38</v>
      </c>
      <c r="D5" s="27">
        <f>D6+D9</f>
        <v>2589.1999999999998</v>
      </c>
      <c r="E5" s="27">
        <v>2321.08</v>
      </c>
      <c r="F5" s="27">
        <f>F6+F9</f>
        <v>5381.66</v>
      </c>
      <c r="G5" s="27">
        <v>2405.87</v>
      </c>
      <c r="H5" s="27">
        <f t="shared" ref="H5:N5" si="0">H6+H9</f>
        <v>3849.54</v>
      </c>
      <c r="I5" s="27">
        <f t="shared" si="0"/>
        <v>4402.26</v>
      </c>
      <c r="J5" s="27">
        <f t="shared" si="0"/>
        <v>3394.0799999999995</v>
      </c>
      <c r="K5" s="27">
        <f t="shared" si="0"/>
        <v>4612.12</v>
      </c>
      <c r="L5" s="27">
        <f t="shared" si="0"/>
        <v>6880.97</v>
      </c>
      <c r="M5" s="27">
        <f t="shared" si="0"/>
        <v>4563.9799999999996</v>
      </c>
      <c r="N5" s="27">
        <f t="shared" si="0"/>
        <v>7417.6200000000008</v>
      </c>
      <c r="O5" s="27">
        <f t="shared" ref="O5:Q5" si="1">O6+O9</f>
        <v>7417.6200000000008</v>
      </c>
      <c r="P5" s="27">
        <f t="shared" si="1"/>
        <v>4539.16</v>
      </c>
      <c r="Q5" s="27">
        <f t="shared" si="1"/>
        <v>7718.16</v>
      </c>
      <c r="R5" s="27">
        <f t="shared" ref="R5:S5" si="2">R6+R9</f>
        <v>4544.9699999999993</v>
      </c>
      <c r="S5" s="27">
        <f t="shared" si="2"/>
        <v>8781.7200000000012</v>
      </c>
    </row>
    <row r="6" spans="1:19" x14ac:dyDescent="0.3">
      <c r="A6" s="68" t="s">
        <v>175</v>
      </c>
      <c r="B6" s="20" t="s">
        <v>153</v>
      </c>
      <c r="C6" s="19">
        <v>2154.38</v>
      </c>
      <c r="D6" s="19">
        <v>2271.4499999999998</v>
      </c>
      <c r="E6" s="19">
        <v>2321.08</v>
      </c>
      <c r="F6" s="19">
        <f>F7+F8</f>
        <v>3691.38</v>
      </c>
      <c r="G6" s="19">
        <v>2405.87</v>
      </c>
      <c r="H6" s="19">
        <v>3092.23</v>
      </c>
      <c r="I6" s="19">
        <v>3907.19</v>
      </c>
      <c r="J6" s="19">
        <f>J7+J8</f>
        <v>3270.6499999999996</v>
      </c>
      <c r="K6" s="19">
        <v>4093.45</v>
      </c>
      <c r="L6" s="19">
        <f>L7+L8</f>
        <v>4147.26</v>
      </c>
      <c r="M6" s="19">
        <f>M7+M8</f>
        <v>4050.73</v>
      </c>
      <c r="N6" s="19">
        <f>N7+N8</f>
        <v>5645.72</v>
      </c>
      <c r="O6" s="19">
        <f>O7+O8</f>
        <v>5645.72</v>
      </c>
      <c r="P6" s="19">
        <v>4028.7</v>
      </c>
      <c r="Q6" s="19">
        <v>5400.66</v>
      </c>
      <c r="R6" s="19">
        <f>R7+R8</f>
        <v>4033.8599999999997</v>
      </c>
      <c r="S6" s="19">
        <f>S7+S8</f>
        <v>3833.29</v>
      </c>
    </row>
    <row r="7" spans="1:19" x14ac:dyDescent="0.3">
      <c r="A7" s="68" t="s">
        <v>176</v>
      </c>
      <c r="B7" s="20" t="s">
        <v>150</v>
      </c>
      <c r="C7" s="19">
        <v>1202.6300000000001</v>
      </c>
      <c r="D7" s="19">
        <v>1600.62</v>
      </c>
      <c r="E7" s="19">
        <v>1295.69</v>
      </c>
      <c r="F7" s="19">
        <v>1590.86</v>
      </c>
      <c r="G7" s="19">
        <v>1343.02</v>
      </c>
      <c r="H7" s="19">
        <v>1744.6</v>
      </c>
      <c r="I7" s="19">
        <v>2163.62</v>
      </c>
      <c r="J7" s="19">
        <v>1847.1</v>
      </c>
      <c r="K7" s="19">
        <v>2266.7600000000002</v>
      </c>
      <c r="L7" s="19">
        <v>1716.93</v>
      </c>
      <c r="M7" s="19">
        <v>2243.11</v>
      </c>
      <c r="N7" s="19">
        <v>1723.71</v>
      </c>
      <c r="O7" s="19">
        <v>1723.71</v>
      </c>
      <c r="P7" s="19">
        <v>2230.91</v>
      </c>
      <c r="Q7" s="19">
        <v>1962.26</v>
      </c>
      <c r="R7" s="19">
        <v>2233.77</v>
      </c>
      <c r="S7" s="19">
        <v>1542.15</v>
      </c>
    </row>
    <row r="8" spans="1:19" x14ac:dyDescent="0.3">
      <c r="A8" s="68" t="s">
        <v>177</v>
      </c>
      <c r="B8" s="20" t="s">
        <v>178</v>
      </c>
      <c r="C8" s="19">
        <v>951.75</v>
      </c>
      <c r="D8" s="19">
        <f>D6-D7</f>
        <v>670.82999999999993</v>
      </c>
      <c r="E8" s="19">
        <v>1025.3900000000001</v>
      </c>
      <c r="F8" s="19">
        <v>2100.52</v>
      </c>
      <c r="G8" s="19">
        <v>1062.8499999999999</v>
      </c>
      <c r="H8" s="19">
        <f>H6-H7</f>
        <v>1347.63</v>
      </c>
      <c r="I8" s="19">
        <v>1743.57</v>
      </c>
      <c r="J8" s="19">
        <v>1423.55</v>
      </c>
      <c r="K8" s="19">
        <v>1826.68</v>
      </c>
      <c r="L8" s="19">
        <v>2430.33</v>
      </c>
      <c r="M8" s="19">
        <v>1807.62</v>
      </c>
      <c r="N8" s="19">
        <v>3922.01</v>
      </c>
      <c r="O8" s="19">
        <v>3922.01</v>
      </c>
      <c r="P8" s="19">
        <v>1797.79</v>
      </c>
      <c r="Q8" s="19">
        <f>Q6-1962.26</f>
        <v>3438.3999999999996</v>
      </c>
      <c r="R8" s="19">
        <v>1800.09</v>
      </c>
      <c r="S8" s="19">
        <v>2291.14</v>
      </c>
    </row>
    <row r="9" spans="1:19" ht="38.4" customHeight="1" x14ac:dyDescent="0.3">
      <c r="A9" s="68" t="s">
        <v>180</v>
      </c>
      <c r="B9" s="20" t="s">
        <v>179</v>
      </c>
      <c r="C9" s="19">
        <v>0</v>
      </c>
      <c r="D9" s="19">
        <v>317.75</v>
      </c>
      <c r="E9" s="19">
        <v>0</v>
      </c>
      <c r="F9" s="19">
        <v>1690.28</v>
      </c>
      <c r="G9" s="19">
        <v>0</v>
      </c>
      <c r="H9" s="19">
        <v>757.31</v>
      </c>
      <c r="I9" s="19">
        <v>495.07</v>
      </c>
      <c r="J9" s="19">
        <v>123.43</v>
      </c>
      <c r="K9" s="19">
        <v>518.66999999999996</v>
      </c>
      <c r="L9" s="19">
        <v>2733.71</v>
      </c>
      <c r="M9" s="19">
        <v>513.25</v>
      </c>
      <c r="N9" s="19">
        <v>1771.9</v>
      </c>
      <c r="O9" s="19">
        <v>1771.9</v>
      </c>
      <c r="P9" s="19">
        <v>510.46</v>
      </c>
      <c r="Q9" s="19">
        <v>2317.5</v>
      </c>
      <c r="R9" s="19">
        <v>511.11</v>
      </c>
      <c r="S9" s="19">
        <v>4948.43</v>
      </c>
    </row>
    <row r="10" spans="1:19" x14ac:dyDescent="0.3">
      <c r="A10" s="71" t="s">
        <v>181</v>
      </c>
      <c r="B10" s="27" t="s">
        <v>139</v>
      </c>
      <c r="C10" s="67">
        <v>28088.3</v>
      </c>
      <c r="D10" s="27">
        <v>27380.42</v>
      </c>
      <c r="E10" s="67">
        <v>30261.72</v>
      </c>
      <c r="F10" s="27">
        <v>32421.33</v>
      </c>
      <c r="G10" s="27">
        <v>31367.18</v>
      </c>
      <c r="H10" s="27">
        <v>31067.59</v>
      </c>
      <c r="I10" s="27">
        <v>43324.76</v>
      </c>
      <c r="J10" s="27">
        <v>40980.519999999997</v>
      </c>
      <c r="K10" s="67">
        <v>45390.03</v>
      </c>
      <c r="L10" s="27">
        <v>46043.78</v>
      </c>
      <c r="M10" s="67">
        <v>44916.42</v>
      </c>
      <c r="N10" s="27">
        <v>54153.72</v>
      </c>
      <c r="O10" s="27">
        <v>45090.86</v>
      </c>
      <c r="P10" s="67">
        <v>44672.08</v>
      </c>
      <c r="Q10" s="27">
        <v>50917.760000000002</v>
      </c>
      <c r="R10" s="67">
        <v>44729.26</v>
      </c>
      <c r="S10" s="27">
        <v>52780.61</v>
      </c>
    </row>
    <row r="11" spans="1:19" ht="22.8" customHeight="1" x14ac:dyDescent="0.3">
      <c r="A11" s="71" t="s">
        <v>182</v>
      </c>
      <c r="B11" s="27" t="s">
        <v>140</v>
      </c>
      <c r="C11" s="27">
        <v>3620.23</v>
      </c>
      <c r="D11" s="27">
        <f>D12+D13</f>
        <v>4853.1200000000008</v>
      </c>
      <c r="E11" s="27">
        <v>3900.35</v>
      </c>
      <c r="F11" s="27">
        <f>F12+F13</f>
        <v>4806.1900000000005</v>
      </c>
      <c r="G11" s="27">
        <v>4042.83</v>
      </c>
      <c r="H11" s="27">
        <f>H12+H13</f>
        <v>3624.6000000000004</v>
      </c>
      <c r="I11" s="27">
        <v>6150.77</v>
      </c>
      <c r="J11" s="27">
        <f>J12+J13</f>
        <v>4304.74</v>
      </c>
      <c r="K11" s="27">
        <v>6443.97</v>
      </c>
      <c r="L11" s="27">
        <f>L12+L13</f>
        <v>7013.09</v>
      </c>
      <c r="M11" s="27">
        <v>6376.73</v>
      </c>
      <c r="N11" s="27">
        <f t="shared" ref="N11:S11" si="3">N12+N13</f>
        <v>11686.11</v>
      </c>
      <c r="O11" s="27">
        <f t="shared" si="3"/>
        <v>11686.11</v>
      </c>
      <c r="P11" s="27">
        <f t="shared" si="3"/>
        <v>6342.04</v>
      </c>
      <c r="Q11" s="27">
        <f t="shared" si="3"/>
        <v>10294.060000000001</v>
      </c>
      <c r="R11" s="27">
        <f t="shared" si="3"/>
        <v>6350.16</v>
      </c>
      <c r="S11" s="27">
        <f t="shared" si="3"/>
        <v>11625.52</v>
      </c>
    </row>
    <row r="12" spans="1:19" x14ac:dyDescent="0.3">
      <c r="A12" s="73" t="s">
        <v>183</v>
      </c>
      <c r="B12" s="20" t="s">
        <v>184</v>
      </c>
      <c r="C12" s="63">
        <v>2057.3000000000002</v>
      </c>
      <c r="D12" s="19">
        <v>2051.5500000000002</v>
      </c>
      <c r="E12" s="63">
        <v>2216.44</v>
      </c>
      <c r="F12" s="19">
        <v>1846.34</v>
      </c>
      <c r="G12" s="19">
        <v>2297.41</v>
      </c>
      <c r="H12" s="19">
        <v>968.28</v>
      </c>
      <c r="I12" s="19">
        <v>3284.31</v>
      </c>
      <c r="J12" s="19">
        <v>1396.73</v>
      </c>
      <c r="K12" s="19">
        <v>3440.87</v>
      </c>
      <c r="L12" s="19">
        <v>3638.98</v>
      </c>
      <c r="M12" s="19">
        <v>3404.96</v>
      </c>
      <c r="N12" s="19">
        <v>8680.59</v>
      </c>
      <c r="O12" s="19">
        <v>8680.59</v>
      </c>
      <c r="P12" s="19">
        <v>3386.44</v>
      </c>
      <c r="Q12" s="19">
        <v>7466.27</v>
      </c>
      <c r="R12" s="19">
        <v>3390.78</v>
      </c>
      <c r="S12" s="19">
        <v>8958.74</v>
      </c>
    </row>
    <row r="13" spans="1:19" ht="28.8" x14ac:dyDescent="0.3">
      <c r="A13" s="73" t="s">
        <v>185</v>
      </c>
      <c r="B13" s="20" t="s">
        <v>186</v>
      </c>
      <c r="C13" s="19">
        <v>1562.97</v>
      </c>
      <c r="D13" s="19">
        <v>2801.57</v>
      </c>
      <c r="E13" s="19">
        <v>1683.91</v>
      </c>
      <c r="F13" s="19">
        <f>F14+F15+F16+F17+F18+F19+F20+F21+F22+F23+F25+F26+F24+F27+F28+F29</f>
        <v>2959.8500000000004</v>
      </c>
      <c r="G13" s="19">
        <v>1745.43</v>
      </c>
      <c r="H13" s="19">
        <f>H14+H15+H16+H17+H18+H19+H20+H21+H22+H23+H25+H26+H24+H27+H28+H29</f>
        <v>2656.32</v>
      </c>
      <c r="I13" s="19">
        <v>2866.46</v>
      </c>
      <c r="J13" s="19">
        <f>J14+J15+J16+J17+J18+J19+J20+J21+J22+J23+J25+J26+J24+J27+J28+J29</f>
        <v>2908.0099999999993</v>
      </c>
      <c r="K13" s="19">
        <v>3003.11</v>
      </c>
      <c r="L13" s="19">
        <f>L14+L15+L16+L18+L24+L25+L26+L29</f>
        <v>3374.1099999999997</v>
      </c>
      <c r="M13" s="19">
        <v>2971.77</v>
      </c>
      <c r="N13" s="19">
        <f t="shared" ref="N13:S13" si="4">N14+N15+N16+N18+N24+N25+N26+N29</f>
        <v>3005.52</v>
      </c>
      <c r="O13" s="19">
        <f t="shared" si="4"/>
        <v>3005.52</v>
      </c>
      <c r="P13" s="19">
        <f t="shared" si="4"/>
        <v>2955.6</v>
      </c>
      <c r="Q13" s="19">
        <f t="shared" si="4"/>
        <v>2827.79</v>
      </c>
      <c r="R13" s="19">
        <f t="shared" si="4"/>
        <v>2959.38</v>
      </c>
      <c r="S13" s="19">
        <f t="shared" si="4"/>
        <v>2666.7799999999997</v>
      </c>
    </row>
    <row r="14" spans="1:19" x14ac:dyDescent="0.3">
      <c r="A14" s="68" t="s">
        <v>187</v>
      </c>
      <c r="B14" s="19" t="s">
        <v>91</v>
      </c>
      <c r="C14" s="19">
        <v>213.65</v>
      </c>
      <c r="D14" s="19">
        <v>391.9</v>
      </c>
      <c r="E14" s="19">
        <v>230.18</v>
      </c>
      <c r="F14" s="19">
        <v>389.29</v>
      </c>
      <c r="G14" s="19">
        <v>238.59</v>
      </c>
      <c r="H14" s="19">
        <v>398.87</v>
      </c>
      <c r="I14" s="19">
        <v>364.46</v>
      </c>
      <c r="J14" s="19">
        <v>383.84</v>
      </c>
      <c r="K14" s="19">
        <v>381.84</v>
      </c>
      <c r="L14" s="19">
        <v>387.24</v>
      </c>
      <c r="M14" s="19">
        <v>377.85</v>
      </c>
      <c r="N14" s="19">
        <v>413.54</v>
      </c>
      <c r="O14" s="19">
        <v>413.54</v>
      </c>
      <c r="P14" s="19">
        <v>375.8</v>
      </c>
      <c r="Q14" s="19">
        <v>466.8</v>
      </c>
      <c r="R14" s="19">
        <v>376.28</v>
      </c>
      <c r="S14" s="19">
        <v>492.86</v>
      </c>
    </row>
    <row r="15" spans="1:19" ht="28.8" x14ac:dyDescent="0.3">
      <c r="A15" s="69" t="s">
        <v>201</v>
      </c>
      <c r="B15" s="20" t="s">
        <v>188</v>
      </c>
      <c r="C15" s="63">
        <v>207.9</v>
      </c>
      <c r="D15" s="19">
        <v>208.9</v>
      </c>
      <c r="E15" s="63">
        <v>223.99</v>
      </c>
      <c r="F15" s="19">
        <v>211.3</v>
      </c>
      <c r="G15" s="19">
        <v>232.17</v>
      </c>
      <c r="H15" s="19">
        <v>232.89</v>
      </c>
      <c r="I15" s="19">
        <v>195.18</v>
      </c>
      <c r="J15" s="19">
        <v>198.32</v>
      </c>
      <c r="K15" s="19">
        <v>204.48</v>
      </c>
      <c r="L15" s="19">
        <v>203.96</v>
      </c>
      <c r="M15" s="19">
        <v>202.35</v>
      </c>
      <c r="N15" s="19">
        <v>207.9</v>
      </c>
      <c r="O15" s="19">
        <v>207.9</v>
      </c>
      <c r="P15" s="19">
        <v>201.25</v>
      </c>
      <c r="Q15" s="19">
        <v>214.05</v>
      </c>
      <c r="R15" s="19">
        <v>201.5</v>
      </c>
      <c r="S15" s="19">
        <v>207.9</v>
      </c>
    </row>
    <row r="16" spans="1:19" ht="28.8" customHeight="1" x14ac:dyDescent="0.3">
      <c r="A16" s="69" t="s">
        <v>202</v>
      </c>
      <c r="B16" s="20" t="s">
        <v>189</v>
      </c>
      <c r="C16" s="19">
        <v>68.66</v>
      </c>
      <c r="D16" s="19">
        <v>59.98</v>
      </c>
      <c r="E16" s="19">
        <v>73.97</v>
      </c>
      <c r="F16" s="19">
        <f>29.64+9.3+11.4</f>
        <v>50.339999999999996</v>
      </c>
      <c r="G16" s="19">
        <v>76.67</v>
      </c>
      <c r="H16" s="19">
        <f>9.41+13.34+25.24</f>
        <v>47.989999999999995</v>
      </c>
      <c r="I16" s="19">
        <v>57.8</v>
      </c>
      <c r="J16" s="19">
        <f>11.29+13.18+31.69</f>
        <v>56.16</v>
      </c>
      <c r="K16" s="19">
        <v>60.55</v>
      </c>
      <c r="L16" s="63">
        <f>17.56+14.07+31.78+6.99</f>
        <v>70.399999999999991</v>
      </c>
      <c r="M16" s="19">
        <v>59.92</v>
      </c>
      <c r="N16" s="63">
        <f>13.97+12.42+44.69</f>
        <v>71.08</v>
      </c>
      <c r="O16" s="63">
        <f>13.97+12.42+44.69</f>
        <v>71.08</v>
      </c>
      <c r="P16" s="19">
        <v>59.59</v>
      </c>
      <c r="Q16" s="63">
        <f>20.17+14.61+46.5</f>
        <v>81.28</v>
      </c>
      <c r="R16" s="19">
        <v>59.67</v>
      </c>
      <c r="S16" s="63">
        <v>90.17</v>
      </c>
    </row>
    <row r="17" spans="1:19" ht="16.5" customHeight="1" x14ac:dyDescent="0.3">
      <c r="A17" s="69" t="s">
        <v>203</v>
      </c>
      <c r="B17" s="20" t="s">
        <v>190</v>
      </c>
      <c r="C17" s="63">
        <v>125</v>
      </c>
      <c r="D17" s="19">
        <v>66</v>
      </c>
      <c r="E17" s="63">
        <v>134.66999999999999</v>
      </c>
      <c r="F17" s="19"/>
      <c r="G17" s="19">
        <v>139.59</v>
      </c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</row>
    <row r="18" spans="1:19" ht="16.5" customHeight="1" x14ac:dyDescent="0.3">
      <c r="A18" s="69" t="s">
        <v>204</v>
      </c>
      <c r="B18" s="20" t="s">
        <v>168</v>
      </c>
      <c r="C18" s="19">
        <v>245.18</v>
      </c>
      <c r="D18" s="19">
        <v>325.2</v>
      </c>
      <c r="E18" s="19">
        <v>264.14999999999998</v>
      </c>
      <c r="F18" s="19">
        <v>411.23</v>
      </c>
      <c r="G18" s="19">
        <v>273.8</v>
      </c>
      <c r="H18" s="19">
        <v>357.95</v>
      </c>
      <c r="I18" s="19">
        <v>434.54</v>
      </c>
      <c r="J18" s="19">
        <v>490.96</v>
      </c>
      <c r="K18" s="19">
        <v>455.25</v>
      </c>
      <c r="L18" s="19">
        <v>439.43</v>
      </c>
      <c r="M18" s="19">
        <v>450.5</v>
      </c>
      <c r="N18" s="19">
        <v>462.89</v>
      </c>
      <c r="O18" s="19">
        <v>462.89</v>
      </c>
      <c r="P18" s="19">
        <v>448.05</v>
      </c>
      <c r="Q18" s="19">
        <v>455.06</v>
      </c>
      <c r="R18" s="19">
        <v>448.62</v>
      </c>
      <c r="S18" s="19">
        <v>517.96</v>
      </c>
    </row>
    <row r="19" spans="1:19" x14ac:dyDescent="0.3">
      <c r="A19" s="69" t="s">
        <v>205</v>
      </c>
      <c r="B19" s="20" t="s">
        <v>191</v>
      </c>
      <c r="C19" s="19">
        <v>0</v>
      </c>
      <c r="D19" s="19">
        <v>32.630000000000003</v>
      </c>
      <c r="E19" s="19">
        <v>0</v>
      </c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</row>
    <row r="20" spans="1:19" x14ac:dyDescent="0.3">
      <c r="A20" s="69" t="s">
        <v>206</v>
      </c>
      <c r="B20" s="20" t="s">
        <v>192</v>
      </c>
      <c r="C20" s="19">
        <v>0</v>
      </c>
      <c r="D20" s="19"/>
      <c r="E20" s="19">
        <v>0</v>
      </c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</row>
    <row r="21" spans="1:19" x14ac:dyDescent="0.3">
      <c r="A21" s="69" t="s">
        <v>207</v>
      </c>
      <c r="B21" s="20" t="s">
        <v>193</v>
      </c>
      <c r="C21" s="19">
        <v>0</v>
      </c>
      <c r="D21" s="19"/>
      <c r="E21" s="19">
        <v>0</v>
      </c>
      <c r="F21" s="19"/>
      <c r="G21" s="19"/>
      <c r="H21" s="19"/>
      <c r="I21" s="19"/>
      <c r="J21" s="63">
        <v>199</v>
      </c>
      <c r="K21" s="19"/>
      <c r="L21" s="19"/>
      <c r="M21" s="19"/>
      <c r="N21" s="19"/>
      <c r="O21" s="19"/>
      <c r="P21" s="19"/>
      <c r="Q21" s="19"/>
      <c r="R21" s="19"/>
      <c r="S21" s="19"/>
    </row>
    <row r="22" spans="1:19" x14ac:dyDescent="0.3">
      <c r="A22" s="69" t="s">
        <v>208</v>
      </c>
      <c r="B22" s="20" t="s">
        <v>194</v>
      </c>
      <c r="C22" s="19">
        <v>0</v>
      </c>
      <c r="D22" s="19"/>
      <c r="E22" s="19">
        <v>0</v>
      </c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</row>
    <row r="23" spans="1:19" ht="27" customHeight="1" x14ac:dyDescent="0.3">
      <c r="A23" s="69" t="s">
        <v>209</v>
      </c>
      <c r="B23" s="45" t="s">
        <v>196</v>
      </c>
      <c r="C23" s="19">
        <v>0</v>
      </c>
      <c r="D23" s="19"/>
      <c r="E23" s="19">
        <v>0</v>
      </c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</row>
    <row r="24" spans="1:19" ht="28.8" x14ac:dyDescent="0.3">
      <c r="A24" s="69" t="s">
        <v>210</v>
      </c>
      <c r="B24" s="20" t="s">
        <v>195</v>
      </c>
      <c r="C24" s="19">
        <v>129.13999999999999</v>
      </c>
      <c r="D24" s="19">
        <v>544.87</v>
      </c>
      <c r="E24" s="19">
        <v>139.13</v>
      </c>
      <c r="F24" s="19">
        <f>160.13+63.53</f>
        <v>223.66</v>
      </c>
      <c r="G24" s="19">
        <v>144.21</v>
      </c>
      <c r="H24" s="19">
        <v>282.33</v>
      </c>
      <c r="I24" s="19">
        <v>395.03</v>
      </c>
      <c r="J24" s="19">
        <v>444.58</v>
      </c>
      <c r="K24" s="19">
        <v>413.87</v>
      </c>
      <c r="L24" s="19">
        <v>570.66999999999996</v>
      </c>
      <c r="M24" s="19">
        <v>409.55</v>
      </c>
      <c r="N24" s="19">
        <v>513.49</v>
      </c>
      <c r="O24" s="19">
        <v>513.49</v>
      </c>
      <c r="P24" s="19">
        <v>407.32</v>
      </c>
      <c r="Q24" s="19">
        <v>75.37</v>
      </c>
      <c r="R24" s="19">
        <v>407.84</v>
      </c>
      <c r="S24" s="19">
        <v>168.7</v>
      </c>
    </row>
    <row r="25" spans="1:19" x14ac:dyDescent="0.3">
      <c r="A25" s="69" t="s">
        <v>211</v>
      </c>
      <c r="B25" s="64" t="s">
        <v>197</v>
      </c>
      <c r="C25" s="19">
        <v>126</v>
      </c>
      <c r="D25" s="19">
        <v>250.1</v>
      </c>
      <c r="E25" s="19">
        <v>135.75</v>
      </c>
      <c r="F25" s="19">
        <v>223.03</v>
      </c>
      <c r="G25" s="19">
        <v>140.71</v>
      </c>
      <c r="H25" s="19">
        <v>74</v>
      </c>
      <c r="I25" s="19">
        <v>192.61</v>
      </c>
      <c r="J25" s="19">
        <v>132.65</v>
      </c>
      <c r="K25" s="19">
        <v>201.6</v>
      </c>
      <c r="L25" s="19">
        <v>197.84</v>
      </c>
      <c r="M25" s="19">
        <v>199.69</v>
      </c>
      <c r="N25" s="19">
        <v>289.43</v>
      </c>
      <c r="O25" s="19">
        <v>289.43</v>
      </c>
      <c r="P25" s="19">
        <v>198.6</v>
      </c>
      <c r="Q25" s="19">
        <v>102.55</v>
      </c>
      <c r="R25" s="19">
        <v>198.86</v>
      </c>
      <c r="S25" s="19">
        <v>100.2</v>
      </c>
    </row>
    <row r="26" spans="1:19" x14ac:dyDescent="0.3">
      <c r="A26" s="69" t="s">
        <v>212</v>
      </c>
      <c r="B26" s="64" t="s">
        <v>198</v>
      </c>
      <c r="C26" s="19">
        <v>40</v>
      </c>
      <c r="D26" s="19">
        <v>51.63</v>
      </c>
      <c r="E26" s="19">
        <v>43.1</v>
      </c>
      <c r="F26" s="19">
        <v>56.39</v>
      </c>
      <c r="G26" s="19">
        <v>44.67</v>
      </c>
      <c r="H26" s="19">
        <v>54.75</v>
      </c>
      <c r="I26" s="19">
        <v>52.41</v>
      </c>
      <c r="J26" s="19">
        <v>59.37</v>
      </c>
      <c r="K26" s="19">
        <v>54.91</v>
      </c>
      <c r="L26" s="19">
        <v>57.44</v>
      </c>
      <c r="M26" s="19">
        <v>54.33</v>
      </c>
      <c r="N26" s="19">
        <v>62.79</v>
      </c>
      <c r="O26" s="19">
        <v>62.79</v>
      </c>
      <c r="P26" s="19">
        <v>54.04</v>
      </c>
      <c r="Q26" s="19">
        <v>47.8</v>
      </c>
      <c r="R26" s="19">
        <v>54.11</v>
      </c>
      <c r="S26" s="19">
        <v>46.19</v>
      </c>
    </row>
    <row r="27" spans="1:19" x14ac:dyDescent="0.3">
      <c r="A27" s="69" t="s">
        <v>213</v>
      </c>
      <c r="B27" s="20" t="s">
        <v>199</v>
      </c>
      <c r="C27" s="19">
        <v>0</v>
      </c>
      <c r="D27" s="19"/>
      <c r="E27" s="19">
        <v>0</v>
      </c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</row>
    <row r="28" spans="1:19" ht="13.95" customHeight="1" x14ac:dyDescent="0.3">
      <c r="A28" s="69" t="s">
        <v>214</v>
      </c>
      <c r="B28" s="20" t="s">
        <v>200</v>
      </c>
      <c r="C28" s="19">
        <v>0</v>
      </c>
      <c r="D28" s="19"/>
      <c r="E28" s="19">
        <v>0</v>
      </c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</row>
    <row r="29" spans="1:19" ht="13.95" customHeight="1" x14ac:dyDescent="0.3">
      <c r="A29" s="69" t="s">
        <v>215</v>
      </c>
      <c r="B29" s="20" t="s">
        <v>141</v>
      </c>
      <c r="C29" s="21">
        <v>407.45</v>
      </c>
      <c r="D29" s="19">
        <v>870.36</v>
      </c>
      <c r="E29" s="85">
        <v>438.98</v>
      </c>
      <c r="F29" s="19">
        <v>1394.61</v>
      </c>
      <c r="G29" s="19">
        <v>455.02</v>
      </c>
      <c r="H29" s="19">
        <f>2744.38-1536.84</f>
        <v>1207.5400000000002</v>
      </c>
      <c r="I29" s="19">
        <v>1174.43</v>
      </c>
      <c r="J29" s="63">
        <f>4001.66-1153.02-J14-J15-J16-J18-J24-J25-J21</f>
        <v>943.12999999999965</v>
      </c>
      <c r="K29" s="19">
        <v>1230.42</v>
      </c>
      <c r="L29" s="19">
        <f>38.23+13.83+634.48+124.41+232.37+2.77+107.97+1.67+2.55+277.05+11.8</f>
        <v>1447.1299999999999</v>
      </c>
      <c r="M29" s="19">
        <v>1217.58</v>
      </c>
      <c r="N29" s="19">
        <v>984.4</v>
      </c>
      <c r="O29" s="19">
        <v>984.4</v>
      </c>
      <c r="P29" s="19">
        <v>1210.95</v>
      </c>
      <c r="Q29" s="19">
        <v>1384.88</v>
      </c>
      <c r="R29" s="19">
        <v>1212.5</v>
      </c>
      <c r="S29" s="19">
        <v>1042.8</v>
      </c>
    </row>
    <row r="30" spans="1:19" ht="13.95" customHeight="1" x14ac:dyDescent="0.3">
      <c r="A30" s="74" t="s">
        <v>148</v>
      </c>
      <c r="B30" s="117" t="s">
        <v>216</v>
      </c>
      <c r="C30" s="67">
        <v>53.4</v>
      </c>
      <c r="D30" s="27">
        <v>51.2</v>
      </c>
      <c r="E30" s="67">
        <v>57.5</v>
      </c>
      <c r="F30" s="67">
        <f>F31+F34</f>
        <v>54.839999999999996</v>
      </c>
      <c r="G30" s="27">
        <v>59.6</v>
      </c>
      <c r="H30" s="27">
        <f>H31</f>
        <v>55.8</v>
      </c>
      <c r="I30" s="27">
        <v>96.69</v>
      </c>
      <c r="J30" s="27">
        <f>J31</f>
        <v>60</v>
      </c>
      <c r="K30" s="27">
        <v>101.3</v>
      </c>
      <c r="L30" s="27">
        <v>168.3</v>
      </c>
      <c r="M30" s="27">
        <v>100.24</v>
      </c>
      <c r="N30" s="27">
        <f t="shared" ref="N30:S30" si="5">N31</f>
        <v>546.05999999999995</v>
      </c>
      <c r="O30" s="27">
        <f t="shared" si="5"/>
        <v>546.05999999999995</v>
      </c>
      <c r="P30" s="27">
        <f t="shared" si="5"/>
        <v>99.69</v>
      </c>
      <c r="Q30" s="27">
        <f t="shared" si="5"/>
        <v>1423.38</v>
      </c>
      <c r="R30" s="27">
        <f t="shared" si="5"/>
        <v>99.82</v>
      </c>
      <c r="S30" s="27">
        <f t="shared" si="5"/>
        <v>1454.05</v>
      </c>
    </row>
    <row r="31" spans="1:19" ht="13.95" customHeight="1" x14ac:dyDescent="0.3">
      <c r="A31" s="69" t="s">
        <v>221</v>
      </c>
      <c r="B31" s="20" t="s">
        <v>217</v>
      </c>
      <c r="C31" s="63">
        <v>53.4</v>
      </c>
      <c r="D31" s="19">
        <v>51.2</v>
      </c>
      <c r="E31" s="63">
        <v>57.5</v>
      </c>
      <c r="F31" s="63">
        <v>49.3</v>
      </c>
      <c r="G31" s="19">
        <v>59.6</v>
      </c>
      <c r="H31" s="19">
        <v>55.8</v>
      </c>
      <c r="I31" s="19">
        <v>96.69</v>
      </c>
      <c r="J31" s="19">
        <v>60</v>
      </c>
      <c r="K31" s="19">
        <v>101.3</v>
      </c>
      <c r="L31" s="19">
        <v>168.3</v>
      </c>
      <c r="M31" s="19">
        <v>100.24</v>
      </c>
      <c r="N31" s="19">
        <v>546.05999999999995</v>
      </c>
      <c r="O31" s="19">
        <v>546.05999999999995</v>
      </c>
      <c r="P31" s="19">
        <v>99.69</v>
      </c>
      <c r="Q31" s="19">
        <v>1423.38</v>
      </c>
      <c r="R31" s="19">
        <v>99.82</v>
      </c>
      <c r="S31" s="19">
        <v>1454.05</v>
      </c>
    </row>
    <row r="32" spans="1:19" ht="13.95" customHeight="1" x14ac:dyDescent="0.3">
      <c r="A32" s="69" t="s">
        <v>222</v>
      </c>
      <c r="B32" s="20" t="s">
        <v>218</v>
      </c>
      <c r="C32" s="63">
        <v>0</v>
      </c>
      <c r="D32" s="19"/>
      <c r="E32" s="63">
        <v>0</v>
      </c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</row>
    <row r="33" spans="1:19" ht="24.6" customHeight="1" x14ac:dyDescent="0.3">
      <c r="A33" s="69" t="s">
        <v>223</v>
      </c>
      <c r="B33" s="20" t="s">
        <v>219</v>
      </c>
      <c r="C33" s="63">
        <v>0</v>
      </c>
      <c r="D33" s="19"/>
      <c r="E33" s="63">
        <v>0</v>
      </c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</row>
    <row r="34" spans="1:19" ht="16.2" customHeight="1" x14ac:dyDescent="0.3">
      <c r="A34" s="69" t="s">
        <v>224</v>
      </c>
      <c r="B34" s="20" t="s">
        <v>220</v>
      </c>
      <c r="C34" s="63">
        <v>0</v>
      </c>
      <c r="D34" s="19"/>
      <c r="E34" s="63">
        <v>0</v>
      </c>
      <c r="F34" s="19">
        <v>5.54</v>
      </c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</row>
    <row r="35" spans="1:19" ht="30.6" customHeight="1" x14ac:dyDescent="0.3">
      <c r="A35" s="75" t="s">
        <v>225</v>
      </c>
      <c r="B35" s="117" t="s">
        <v>226</v>
      </c>
      <c r="C35" s="67">
        <v>142.22999999999999</v>
      </c>
      <c r="D35" s="27">
        <v>68.400000000000006</v>
      </c>
      <c r="E35" s="67">
        <v>153.22999999999999</v>
      </c>
      <c r="F35" s="27">
        <v>43</v>
      </c>
      <c r="G35" s="27">
        <v>158.83000000000001</v>
      </c>
      <c r="H35" s="27">
        <f>H37+H39</f>
        <v>287.87</v>
      </c>
      <c r="I35" s="27">
        <v>425.64</v>
      </c>
      <c r="J35" s="27">
        <f>J37+J39</f>
        <v>263.64</v>
      </c>
      <c r="K35" s="27">
        <v>445.93</v>
      </c>
      <c r="L35" s="27">
        <v>390.02</v>
      </c>
      <c r="M35" s="27">
        <v>441.28</v>
      </c>
      <c r="N35" s="27">
        <f t="shared" ref="N35:S35" si="6">N37</f>
        <v>237.89</v>
      </c>
      <c r="O35" s="27">
        <f t="shared" si="6"/>
        <v>237.89</v>
      </c>
      <c r="P35" s="27">
        <f t="shared" si="6"/>
        <v>438.88</v>
      </c>
      <c r="Q35" s="27">
        <f t="shared" si="6"/>
        <v>211.7</v>
      </c>
      <c r="R35" s="27">
        <f t="shared" si="6"/>
        <v>439.44</v>
      </c>
      <c r="S35" s="27">
        <f t="shared" si="6"/>
        <v>243.8</v>
      </c>
    </row>
    <row r="36" spans="1:19" x14ac:dyDescent="0.3">
      <c r="A36" s="69" t="s">
        <v>230</v>
      </c>
      <c r="B36" s="20" t="s">
        <v>227</v>
      </c>
      <c r="C36" s="63">
        <v>0</v>
      </c>
      <c r="D36" s="19"/>
      <c r="E36" s="63">
        <v>0</v>
      </c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</row>
    <row r="37" spans="1:19" ht="22.8" customHeight="1" x14ac:dyDescent="0.3">
      <c r="A37" s="69" t="s">
        <v>231</v>
      </c>
      <c r="B37" s="45" t="s">
        <v>228</v>
      </c>
      <c r="C37" s="63">
        <v>142.22999999999999</v>
      </c>
      <c r="D37" s="19">
        <v>68.400000000000006</v>
      </c>
      <c r="E37" s="63">
        <v>153.22999999999999</v>
      </c>
      <c r="F37" s="19">
        <v>43</v>
      </c>
      <c r="G37" s="19">
        <v>158.83000000000001</v>
      </c>
      <c r="H37" s="19">
        <v>114.55</v>
      </c>
      <c r="I37" s="19">
        <v>425.64</v>
      </c>
      <c r="J37" s="19">
        <f>158.06+105.58</f>
        <v>263.64</v>
      </c>
      <c r="K37" s="19">
        <v>445.93</v>
      </c>
      <c r="L37" s="19">
        <f>225.85+164.17</f>
        <v>390.02</v>
      </c>
      <c r="M37" s="19">
        <v>441.28</v>
      </c>
      <c r="N37" s="19">
        <f>147.89+90</f>
        <v>237.89</v>
      </c>
      <c r="O37" s="19">
        <f>147.89+90</f>
        <v>237.89</v>
      </c>
      <c r="P37" s="19">
        <v>438.88</v>
      </c>
      <c r="Q37" s="19">
        <v>211.7</v>
      </c>
      <c r="R37" s="19">
        <v>439.44</v>
      </c>
      <c r="S37" s="19">
        <f>80+163.8</f>
        <v>243.8</v>
      </c>
    </row>
    <row r="38" spans="1:19" ht="16.05" customHeight="1" x14ac:dyDescent="0.3">
      <c r="A38" s="69" t="s">
        <v>232</v>
      </c>
      <c r="B38" s="20" t="s">
        <v>229</v>
      </c>
      <c r="C38" s="63">
        <v>0</v>
      </c>
      <c r="D38" s="19"/>
      <c r="E38" s="63">
        <v>0</v>
      </c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</row>
    <row r="39" spans="1:19" x14ac:dyDescent="0.3">
      <c r="A39" s="69" t="s">
        <v>233</v>
      </c>
      <c r="B39" s="20" t="s">
        <v>299</v>
      </c>
      <c r="C39" s="63">
        <v>0</v>
      </c>
      <c r="D39" s="19"/>
      <c r="E39" s="63">
        <v>0</v>
      </c>
      <c r="F39" s="19"/>
      <c r="G39" s="19"/>
      <c r="H39" s="19">
        <v>173.32</v>
      </c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</row>
    <row r="40" spans="1:19" ht="27" x14ac:dyDescent="0.3">
      <c r="A40" s="69"/>
      <c r="B40" s="25" t="s">
        <v>142</v>
      </c>
      <c r="C40" s="67">
        <f t="shared" ref="C40:L40" si="7">C5+C10+C11+C30+C35</f>
        <v>34058.540000000008</v>
      </c>
      <c r="D40" s="67">
        <f t="shared" si="7"/>
        <v>34942.339999999997</v>
      </c>
      <c r="E40" s="67">
        <f t="shared" si="7"/>
        <v>36693.880000000005</v>
      </c>
      <c r="F40" s="67">
        <f t="shared" si="7"/>
        <v>42707.020000000004</v>
      </c>
      <c r="G40" s="67">
        <f t="shared" si="7"/>
        <v>38034.310000000005</v>
      </c>
      <c r="H40" s="67">
        <f t="shared" si="7"/>
        <v>38885.4</v>
      </c>
      <c r="I40" s="67">
        <f t="shared" si="7"/>
        <v>54400.12000000001</v>
      </c>
      <c r="J40" s="67">
        <f t="shared" si="7"/>
        <v>49002.979999999996</v>
      </c>
      <c r="K40" s="67">
        <f t="shared" si="7"/>
        <v>56993.350000000006</v>
      </c>
      <c r="L40" s="67">
        <f t="shared" si="7"/>
        <v>60496.159999999996</v>
      </c>
      <c r="M40" s="67">
        <f>M5+M10+M11+M30+M35</f>
        <v>56398.649999999987</v>
      </c>
      <c r="N40" s="67">
        <f t="shared" ref="N40:O40" si="8">N5+N10+N11+N30+N35</f>
        <v>74041.400000000009</v>
      </c>
      <c r="O40" s="67">
        <f t="shared" si="8"/>
        <v>64978.54</v>
      </c>
      <c r="P40" s="67">
        <f>P5+P10+P11+P30+P35</f>
        <v>56091.850000000006</v>
      </c>
      <c r="Q40" s="67">
        <f t="shared" ref="Q40:S40" si="9">Q5+Q10+Q11+Q30+Q35</f>
        <v>70565.06</v>
      </c>
      <c r="R40" s="67">
        <f>R5+R10+R11+R30+R35</f>
        <v>56163.65</v>
      </c>
      <c r="S40" s="67">
        <f t="shared" si="9"/>
        <v>74885.700000000012</v>
      </c>
    </row>
    <row r="41" spans="1:19" x14ac:dyDescent="0.3">
      <c r="A41" s="70"/>
      <c r="B41" s="65"/>
      <c r="C41" s="65"/>
      <c r="D41" s="65"/>
      <c r="E41" s="6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</row>
    <row r="42" spans="1:19" x14ac:dyDescent="0.3">
      <c r="A42" s="70"/>
      <c r="B42" s="65"/>
      <c r="C42" s="65"/>
      <c r="D42" s="65"/>
      <c r="E42" s="66"/>
    </row>
    <row r="43" spans="1:19" ht="31.8" customHeight="1" x14ac:dyDescent="0.3">
      <c r="A43" s="69"/>
      <c r="B43" s="76" t="s">
        <v>143</v>
      </c>
      <c r="C43" s="19" t="s">
        <v>172</v>
      </c>
      <c r="D43" s="20" t="s">
        <v>269</v>
      </c>
      <c r="E43" s="19" t="s">
        <v>171</v>
      </c>
      <c r="F43" s="20" t="s">
        <v>278</v>
      </c>
      <c r="G43" s="19" t="s">
        <v>293</v>
      </c>
      <c r="H43" s="20" t="s">
        <v>294</v>
      </c>
      <c r="I43" s="19" t="s">
        <v>295</v>
      </c>
      <c r="J43" s="20" t="s">
        <v>296</v>
      </c>
      <c r="K43" s="19" t="s">
        <v>279</v>
      </c>
      <c r="L43" s="20" t="s">
        <v>297</v>
      </c>
      <c r="M43" s="19" t="s">
        <v>280</v>
      </c>
      <c r="N43" s="20" t="s">
        <v>298</v>
      </c>
      <c r="O43" s="99" t="s">
        <v>303</v>
      </c>
      <c r="P43" s="19" t="s">
        <v>281</v>
      </c>
      <c r="Q43" s="20" t="s">
        <v>326</v>
      </c>
      <c r="R43" s="19" t="s">
        <v>282</v>
      </c>
      <c r="S43" s="20" t="s">
        <v>331</v>
      </c>
    </row>
    <row r="44" spans="1:19" x14ac:dyDescent="0.3">
      <c r="A44" s="19" t="s">
        <v>137</v>
      </c>
      <c r="B44" s="19" t="s">
        <v>86</v>
      </c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</row>
    <row r="45" spans="1:19" x14ac:dyDescent="0.3">
      <c r="A45" s="69" t="s">
        <v>234</v>
      </c>
      <c r="B45" s="77" t="s">
        <v>351</v>
      </c>
      <c r="C45" s="19">
        <v>5528.72</v>
      </c>
      <c r="D45" s="19">
        <v>9074.0499999999993</v>
      </c>
      <c r="E45" s="19">
        <v>9557.8700000000008</v>
      </c>
      <c r="F45" s="19">
        <v>9197.2800000000007</v>
      </c>
      <c r="G45" s="19">
        <v>9531.9500000000007</v>
      </c>
      <c r="H45" s="19">
        <v>10583.75</v>
      </c>
      <c r="I45" s="19">
        <v>8878.5499999999993</v>
      </c>
      <c r="J45" s="19">
        <v>9943.2800000000007</v>
      </c>
      <c r="K45" s="19">
        <v>10669.59</v>
      </c>
      <c r="L45" s="19">
        <v>10470.9</v>
      </c>
      <c r="M45" s="19">
        <v>10920.48</v>
      </c>
      <c r="N45" s="19">
        <v>10882.4</v>
      </c>
      <c r="O45" s="19">
        <v>10882.4</v>
      </c>
      <c r="P45" s="19">
        <v>9923.17</v>
      </c>
      <c r="Q45" s="19">
        <v>10156.299999999999</v>
      </c>
      <c r="R45" s="19">
        <v>11600.03</v>
      </c>
      <c r="S45" s="19">
        <v>12092.64</v>
      </c>
    </row>
    <row r="46" spans="1:19" x14ac:dyDescent="0.3">
      <c r="A46" s="69" t="s">
        <v>235</v>
      </c>
      <c r="B46" s="20" t="s">
        <v>236</v>
      </c>
      <c r="C46" s="19">
        <v>0</v>
      </c>
      <c r="D46" s="19"/>
      <c r="E46" s="19">
        <v>0</v>
      </c>
      <c r="F46" s="19">
        <v>37.01</v>
      </c>
      <c r="G46" s="19">
        <v>64.2</v>
      </c>
      <c r="H46" s="19">
        <v>46.56</v>
      </c>
      <c r="I46" s="19">
        <v>50.09</v>
      </c>
      <c r="J46" s="19">
        <v>44.7</v>
      </c>
      <c r="K46" s="19">
        <v>51.22</v>
      </c>
      <c r="L46" s="19">
        <v>45.1</v>
      </c>
      <c r="M46" s="19">
        <v>48.2</v>
      </c>
      <c r="N46" s="19">
        <v>46.57</v>
      </c>
      <c r="O46" s="19">
        <v>46.57</v>
      </c>
      <c r="P46" s="19">
        <v>48.22</v>
      </c>
      <c r="Q46" s="19">
        <v>49.01</v>
      </c>
      <c r="R46" s="19">
        <v>50.85</v>
      </c>
      <c r="S46" s="19">
        <v>59.1</v>
      </c>
    </row>
    <row r="47" spans="1:19" s="26" customFormat="1" x14ac:dyDescent="0.3">
      <c r="A47" s="69" t="s">
        <v>239</v>
      </c>
      <c r="B47" s="20" t="s">
        <v>237</v>
      </c>
      <c r="C47" s="19">
        <v>136.43</v>
      </c>
      <c r="D47" s="19">
        <v>180.35</v>
      </c>
      <c r="E47" s="19">
        <v>203.25</v>
      </c>
      <c r="F47" s="19">
        <v>192.07</v>
      </c>
      <c r="G47" s="19">
        <v>201.81</v>
      </c>
      <c r="H47" s="19">
        <v>180.76</v>
      </c>
      <c r="I47" s="19">
        <v>204.11</v>
      </c>
      <c r="J47" s="19">
        <v>197.54</v>
      </c>
      <c r="K47" s="19">
        <v>228.84</v>
      </c>
      <c r="L47" s="19">
        <v>240.67</v>
      </c>
      <c r="M47" s="19">
        <v>225.44</v>
      </c>
      <c r="N47" s="19">
        <v>243.42</v>
      </c>
      <c r="O47" s="19">
        <v>243.42</v>
      </c>
      <c r="P47" s="19">
        <v>248.25</v>
      </c>
      <c r="Q47" s="19">
        <v>243.07</v>
      </c>
      <c r="R47" s="19">
        <v>260.37</v>
      </c>
      <c r="S47" s="19">
        <v>359.21</v>
      </c>
    </row>
    <row r="48" spans="1:19" s="26" customFormat="1" x14ac:dyDescent="0.3">
      <c r="A48" s="69" t="s">
        <v>240</v>
      </c>
      <c r="B48" s="20" t="s">
        <v>300</v>
      </c>
      <c r="C48" s="19">
        <v>0</v>
      </c>
      <c r="D48" s="19"/>
      <c r="E48" s="19">
        <v>0</v>
      </c>
      <c r="F48" s="19"/>
      <c r="G48" s="19"/>
      <c r="H48" s="19"/>
      <c r="I48" s="19">
        <v>1153.02</v>
      </c>
      <c r="J48" s="19">
        <v>1153.02</v>
      </c>
      <c r="K48" s="19">
        <v>1153.02</v>
      </c>
      <c r="L48" s="19">
        <v>1153.02</v>
      </c>
      <c r="M48" s="19">
        <v>1153.02</v>
      </c>
      <c r="N48" s="19">
        <v>1153.02</v>
      </c>
      <c r="O48" s="19">
        <v>1153.02</v>
      </c>
      <c r="P48" s="19">
        <v>1153.02</v>
      </c>
      <c r="Q48" s="19">
        <v>1153.02</v>
      </c>
      <c r="R48" s="19">
        <v>1153.02</v>
      </c>
      <c r="S48" s="19">
        <v>1337.52</v>
      </c>
    </row>
    <row r="49" spans="1:19" s="26" customFormat="1" x14ac:dyDescent="0.3">
      <c r="A49" s="69" t="s">
        <v>241</v>
      </c>
      <c r="B49" s="20" t="s">
        <v>242</v>
      </c>
      <c r="C49" s="19">
        <v>3034.88</v>
      </c>
      <c r="D49" s="19">
        <v>1959.36</v>
      </c>
      <c r="E49" s="19">
        <f>E51+E52+E53</f>
        <v>3545.38</v>
      </c>
      <c r="F49" s="19">
        <f>F51+F52+F53</f>
        <v>2932.9300000000003</v>
      </c>
      <c r="G49" s="19">
        <f>G51+G52+G53</f>
        <v>3545.43</v>
      </c>
      <c r="H49" s="19">
        <f>H51+H52+H53</f>
        <v>2844</v>
      </c>
      <c r="I49" s="19">
        <v>2932.96</v>
      </c>
      <c r="J49" s="19">
        <f>J51+J52+J53</f>
        <v>2716.18</v>
      </c>
      <c r="K49" s="19">
        <v>2840.18</v>
      </c>
      <c r="L49" s="19">
        <f>L51+L52+L53</f>
        <v>2604.29</v>
      </c>
      <c r="M49" s="19">
        <v>2716.16</v>
      </c>
      <c r="N49" s="19">
        <f t="shared" ref="N49:S49" si="10">N51+N52+N53</f>
        <v>2500.2199999999998</v>
      </c>
      <c r="O49" s="19">
        <f t="shared" si="10"/>
        <v>2500.2199999999998</v>
      </c>
      <c r="P49" s="27">
        <f t="shared" si="10"/>
        <v>2606.8200000000002</v>
      </c>
      <c r="Q49" s="27">
        <f t="shared" si="10"/>
        <v>2364.8200000000002</v>
      </c>
      <c r="R49" s="27">
        <f t="shared" si="10"/>
        <v>2500.6799999999998</v>
      </c>
      <c r="S49" s="27">
        <f t="shared" si="10"/>
        <v>2427.38</v>
      </c>
    </row>
    <row r="50" spans="1:19" s="26" customFormat="1" x14ac:dyDescent="0.3">
      <c r="A50" s="69" t="s">
        <v>245</v>
      </c>
      <c r="B50" s="20" t="s">
        <v>243</v>
      </c>
      <c r="C50" s="19">
        <v>0</v>
      </c>
      <c r="D50" s="19"/>
      <c r="E50" s="19">
        <v>0</v>
      </c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</row>
    <row r="51" spans="1:19" s="26" customFormat="1" x14ac:dyDescent="0.3">
      <c r="A51" s="69" t="s">
        <v>246</v>
      </c>
      <c r="B51" s="20" t="s">
        <v>166</v>
      </c>
      <c r="C51" s="19">
        <v>39.71</v>
      </c>
      <c r="D51" s="19">
        <v>44.93</v>
      </c>
      <c r="E51" s="19">
        <v>45.55</v>
      </c>
      <c r="F51" s="19">
        <v>46.9</v>
      </c>
      <c r="G51" s="19">
        <v>45.6</v>
      </c>
      <c r="H51" s="19">
        <v>52.57</v>
      </c>
      <c r="I51" s="19">
        <v>46.93</v>
      </c>
      <c r="J51" s="19">
        <v>52.91</v>
      </c>
      <c r="K51" s="63">
        <v>48.8</v>
      </c>
      <c r="L51" s="19">
        <v>47.34</v>
      </c>
      <c r="M51" s="63">
        <v>52.91</v>
      </c>
      <c r="N51" s="19">
        <v>49.47</v>
      </c>
      <c r="O51" s="19">
        <v>49.47</v>
      </c>
      <c r="P51" s="63">
        <v>49.46</v>
      </c>
      <c r="Q51" s="19">
        <v>29.09</v>
      </c>
      <c r="R51" s="63">
        <v>49.47</v>
      </c>
      <c r="S51" s="19">
        <v>27.07</v>
      </c>
    </row>
    <row r="52" spans="1:19" x14ac:dyDescent="0.3">
      <c r="A52" s="69" t="s">
        <v>247</v>
      </c>
      <c r="B52" s="20" t="s">
        <v>244</v>
      </c>
      <c r="C52" s="19">
        <v>0</v>
      </c>
      <c r="D52" s="19">
        <v>33.1</v>
      </c>
      <c r="E52" s="19">
        <v>19.100000000000001</v>
      </c>
      <c r="F52" s="19">
        <v>18.63</v>
      </c>
      <c r="G52" s="19">
        <v>19.100000000000001</v>
      </c>
      <c r="H52" s="19">
        <v>19.43</v>
      </c>
      <c r="I52" s="19">
        <v>18.63</v>
      </c>
      <c r="J52" s="19">
        <v>9.3000000000000007</v>
      </c>
      <c r="K52" s="19">
        <v>19.38</v>
      </c>
      <c r="L52" s="19">
        <v>5.95</v>
      </c>
      <c r="M52" s="19">
        <v>9.2799999999999994</v>
      </c>
      <c r="N52" s="19">
        <v>5.01</v>
      </c>
      <c r="O52" s="19">
        <v>5.01</v>
      </c>
      <c r="P52" s="19">
        <v>6.36</v>
      </c>
      <c r="Q52" s="19">
        <v>6.6</v>
      </c>
      <c r="R52" s="19">
        <v>5.47</v>
      </c>
      <c r="S52" s="19">
        <v>290.74</v>
      </c>
    </row>
    <row r="53" spans="1:19" x14ac:dyDescent="0.3">
      <c r="A53" s="69" t="s">
        <v>248</v>
      </c>
      <c r="B53" s="20" t="s">
        <v>167</v>
      </c>
      <c r="C53" s="19">
        <v>2995.17</v>
      </c>
      <c r="D53" s="19">
        <v>1881.33</v>
      </c>
      <c r="E53" s="19">
        <v>3480.73</v>
      </c>
      <c r="F53" s="19">
        <v>2867.4</v>
      </c>
      <c r="G53" s="19">
        <v>3480.73</v>
      </c>
      <c r="H53" s="19">
        <v>2772</v>
      </c>
      <c r="I53" s="19">
        <v>2867.4</v>
      </c>
      <c r="J53" s="19">
        <v>2653.97</v>
      </c>
      <c r="K53" s="19">
        <v>2772</v>
      </c>
      <c r="L53" s="19">
        <v>2551</v>
      </c>
      <c r="M53" s="19">
        <v>2653.97</v>
      </c>
      <c r="N53" s="19">
        <v>2445.7399999999998</v>
      </c>
      <c r="O53" s="19">
        <v>2445.7399999999998</v>
      </c>
      <c r="P53" s="19">
        <v>2551</v>
      </c>
      <c r="Q53" s="114">
        <v>2329.13</v>
      </c>
      <c r="R53" s="19">
        <v>2445.7399999999998</v>
      </c>
      <c r="S53" s="114">
        <v>2109.5700000000002</v>
      </c>
    </row>
    <row r="54" spans="1:19" ht="28.8" x14ac:dyDescent="0.3">
      <c r="A54" s="69" t="s">
        <v>249</v>
      </c>
      <c r="B54" s="20" t="s">
        <v>250</v>
      </c>
      <c r="C54" s="19">
        <v>8538.84</v>
      </c>
      <c r="D54" s="19">
        <v>7794</v>
      </c>
      <c r="E54" s="19">
        <v>9199.56</v>
      </c>
      <c r="F54" s="19">
        <v>9289.61</v>
      </c>
      <c r="G54" s="19">
        <v>9535.6200000000008</v>
      </c>
      <c r="H54" s="19">
        <v>9444.5499999999993</v>
      </c>
      <c r="I54" s="19">
        <v>13170.73</v>
      </c>
      <c r="J54" s="19">
        <v>11925.51</v>
      </c>
      <c r="K54" s="19">
        <v>13798.57</v>
      </c>
      <c r="L54" s="19">
        <v>13445.43</v>
      </c>
      <c r="M54" s="19">
        <v>13474.93</v>
      </c>
      <c r="N54" s="19">
        <v>15554.69</v>
      </c>
      <c r="O54" s="19">
        <v>13527.26</v>
      </c>
      <c r="P54" s="19">
        <v>13401.62</v>
      </c>
      <c r="Q54" s="19">
        <v>14930.19</v>
      </c>
      <c r="R54" s="19">
        <v>13418.78</v>
      </c>
      <c r="S54" s="19">
        <v>15417.84</v>
      </c>
    </row>
    <row r="55" spans="1:19" ht="28.8" x14ac:dyDescent="0.3">
      <c r="A55" s="69" t="s">
        <v>251</v>
      </c>
      <c r="B55" s="20" t="s">
        <v>144</v>
      </c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</row>
    <row r="56" spans="1:19" x14ac:dyDescent="0.3">
      <c r="A56" s="69" t="s">
        <v>258</v>
      </c>
      <c r="B56" s="20" t="s">
        <v>252</v>
      </c>
      <c r="C56" s="19">
        <v>35.6</v>
      </c>
      <c r="D56" s="19"/>
      <c r="E56" s="19">
        <v>1540.51</v>
      </c>
      <c r="F56" s="19"/>
      <c r="G56" s="19">
        <v>1705.66</v>
      </c>
      <c r="H56" s="19"/>
      <c r="I56" s="19">
        <v>106.41</v>
      </c>
      <c r="J56" s="19"/>
      <c r="K56" s="19">
        <v>111.48</v>
      </c>
      <c r="L56" s="19"/>
      <c r="M56" s="19">
        <v>110.32</v>
      </c>
      <c r="N56" s="19"/>
      <c r="O56" s="19"/>
      <c r="P56" s="19">
        <v>109.72</v>
      </c>
      <c r="Q56" s="19"/>
      <c r="R56" s="19">
        <v>109.86</v>
      </c>
      <c r="S56" s="19"/>
    </row>
    <row r="57" spans="1:19" ht="28.8" x14ac:dyDescent="0.3">
      <c r="A57" s="69" t="s">
        <v>259</v>
      </c>
      <c r="B57" s="20" t="s">
        <v>270</v>
      </c>
      <c r="C57" s="19">
        <v>1755.42</v>
      </c>
      <c r="D57" s="19"/>
      <c r="E57" s="19">
        <v>1849.82</v>
      </c>
      <c r="F57" s="19"/>
      <c r="G57" s="19"/>
      <c r="H57" s="19"/>
      <c r="I57" s="19"/>
      <c r="J57" s="19"/>
      <c r="K57" s="19"/>
      <c r="L57" s="19"/>
      <c r="M57" s="19"/>
      <c r="N57" s="19"/>
      <c r="O57" s="19">
        <v>134.66</v>
      </c>
      <c r="P57" s="19"/>
      <c r="Q57" s="19">
        <v>1038.82</v>
      </c>
      <c r="R57" s="19">
        <v>139.91999999999999</v>
      </c>
      <c r="S57" s="19"/>
    </row>
    <row r="58" spans="1:19" x14ac:dyDescent="0.3">
      <c r="A58" s="69" t="s">
        <v>260</v>
      </c>
      <c r="B58" s="20" t="s">
        <v>253</v>
      </c>
      <c r="C58" s="19">
        <v>10947.46</v>
      </c>
      <c r="D58" s="19">
        <v>4680</v>
      </c>
      <c r="E58" s="19">
        <v>10947.46</v>
      </c>
      <c r="F58" s="19">
        <v>5891.47</v>
      </c>
      <c r="G58" s="19">
        <v>10947.46</v>
      </c>
      <c r="H58" s="19">
        <v>787.46</v>
      </c>
      <c r="I58" s="19">
        <v>5891.47</v>
      </c>
      <c r="J58" s="19">
        <v>5884.69</v>
      </c>
      <c r="K58" s="19">
        <v>5891.47</v>
      </c>
      <c r="L58" s="19">
        <v>5973</v>
      </c>
      <c r="M58" s="19">
        <v>522.25</v>
      </c>
      <c r="N58" s="19">
        <v>5108.74</v>
      </c>
      <c r="O58" s="19">
        <v>578.86</v>
      </c>
      <c r="P58" s="19">
        <v>699.73</v>
      </c>
      <c r="Q58" s="19">
        <v>4835.82</v>
      </c>
      <c r="R58" s="19">
        <v>578.86</v>
      </c>
      <c r="S58" s="19">
        <v>4731.9799999999996</v>
      </c>
    </row>
    <row r="59" spans="1:19" ht="28.8" x14ac:dyDescent="0.3">
      <c r="A59" s="69" t="s">
        <v>261</v>
      </c>
      <c r="B59" s="20" t="s">
        <v>254</v>
      </c>
      <c r="C59" s="19">
        <v>0</v>
      </c>
      <c r="D59" s="19"/>
      <c r="E59" s="19">
        <v>0</v>
      </c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</row>
    <row r="60" spans="1:19" ht="28.8" x14ac:dyDescent="0.3">
      <c r="A60" s="69" t="s">
        <v>262</v>
      </c>
      <c r="B60" s="20" t="s">
        <v>255</v>
      </c>
      <c r="C60" s="19">
        <v>10947.46</v>
      </c>
      <c r="D60" s="19">
        <v>4680</v>
      </c>
      <c r="E60" s="19">
        <v>10947.46</v>
      </c>
      <c r="F60" s="19">
        <v>5891.47</v>
      </c>
      <c r="G60" s="19">
        <v>10947.46</v>
      </c>
      <c r="H60" s="19">
        <v>787.46</v>
      </c>
      <c r="I60" s="19">
        <v>5891.47</v>
      </c>
      <c r="J60" s="19">
        <v>5884.69</v>
      </c>
      <c r="K60" s="19">
        <v>5891.47</v>
      </c>
      <c r="L60" s="19">
        <v>5973</v>
      </c>
      <c r="M60" s="19">
        <v>522.25</v>
      </c>
      <c r="N60" s="19">
        <v>5108.74</v>
      </c>
      <c r="O60" s="19">
        <v>578.86</v>
      </c>
      <c r="P60" s="19">
        <v>699.73</v>
      </c>
      <c r="Q60" s="19">
        <v>4835.82</v>
      </c>
      <c r="R60" s="19">
        <v>578.86</v>
      </c>
      <c r="S60" s="19">
        <v>4731.9799999999996</v>
      </c>
    </row>
    <row r="61" spans="1:19" x14ac:dyDescent="0.3">
      <c r="A61" s="69" t="s">
        <v>263</v>
      </c>
      <c r="B61" s="20" t="s">
        <v>256</v>
      </c>
      <c r="C61" s="19">
        <v>0</v>
      </c>
      <c r="D61" s="19"/>
      <c r="E61" s="19">
        <v>0</v>
      </c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</row>
    <row r="62" spans="1:19" x14ac:dyDescent="0.3">
      <c r="A62" s="69" t="s">
        <v>264</v>
      </c>
      <c r="B62" s="20" t="s">
        <v>257</v>
      </c>
      <c r="C62" s="19">
        <v>0</v>
      </c>
      <c r="D62" s="19"/>
      <c r="E62" s="19">
        <v>6008.8</v>
      </c>
      <c r="F62" s="19"/>
      <c r="G62" s="19">
        <v>6663.8</v>
      </c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</row>
    <row r="63" spans="1:19" ht="27" x14ac:dyDescent="0.3">
      <c r="A63" s="69"/>
      <c r="B63" s="25" t="s">
        <v>145</v>
      </c>
      <c r="C63" s="27">
        <f t="shared" ref="C63:N63" si="11">C45+C46+C47+C48+C49+C54+C56+C57+C58+C61+C62</f>
        <v>29977.35</v>
      </c>
      <c r="D63" s="27">
        <f t="shared" si="11"/>
        <v>23687.760000000002</v>
      </c>
      <c r="E63" s="27">
        <f t="shared" si="11"/>
        <v>42852.649999999994</v>
      </c>
      <c r="F63" s="27">
        <f t="shared" si="11"/>
        <v>27540.370000000003</v>
      </c>
      <c r="G63" s="27">
        <f t="shared" si="11"/>
        <v>42195.930000000008</v>
      </c>
      <c r="H63" s="27">
        <f t="shared" si="11"/>
        <v>23887.079999999998</v>
      </c>
      <c r="I63" s="27">
        <f t="shared" si="11"/>
        <v>32387.34</v>
      </c>
      <c r="J63" s="27">
        <f t="shared" si="11"/>
        <v>31864.920000000002</v>
      </c>
      <c r="K63" s="67">
        <f t="shared" si="11"/>
        <v>34744.369999999995</v>
      </c>
      <c r="L63" s="67">
        <f t="shared" si="11"/>
        <v>33932.410000000003</v>
      </c>
      <c r="M63" s="67">
        <f t="shared" si="11"/>
        <v>29170.800000000003</v>
      </c>
      <c r="N63" s="67">
        <f t="shared" si="11"/>
        <v>35489.06</v>
      </c>
      <c r="O63" s="67">
        <f>O45+O46+O47+O48+O49+O54+O56+O57+O58+O61+O62</f>
        <v>29066.41</v>
      </c>
      <c r="P63" s="67">
        <f t="shared" ref="P63:Q63" si="12">P45+P46+P47+P48+P49+P54+P56+P57+P58+P61+P62</f>
        <v>28190.55</v>
      </c>
      <c r="Q63" s="67">
        <f t="shared" si="12"/>
        <v>34771.050000000003</v>
      </c>
      <c r="R63" s="67">
        <f t="shared" ref="R63:S63" si="13">R45+R46+R47+R48+R49+R54+R56+R57+R58+R61+R62</f>
        <v>29812.370000000003</v>
      </c>
      <c r="S63" s="67">
        <f t="shared" si="13"/>
        <v>36425.67</v>
      </c>
    </row>
    <row r="64" spans="1:19" x14ac:dyDescent="0.3">
      <c r="A64" s="70"/>
      <c r="B64" s="65"/>
      <c r="C64" s="65"/>
      <c r="D64" s="65"/>
      <c r="E64" s="44"/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</row>
    <row r="65" spans="1:19" x14ac:dyDescent="0.3">
      <c r="A65" s="161" t="s">
        <v>265</v>
      </c>
      <c r="B65" s="162"/>
      <c r="C65" s="162"/>
      <c r="D65" s="162"/>
      <c r="E65" s="162"/>
    </row>
    <row r="66" spans="1:19" ht="43.2" x14ac:dyDescent="0.3">
      <c r="A66" s="69" t="s">
        <v>266</v>
      </c>
      <c r="B66" s="20" t="s">
        <v>265</v>
      </c>
      <c r="C66" s="19">
        <v>696.75</v>
      </c>
      <c r="D66" s="19"/>
      <c r="E66" s="19"/>
      <c r="F66" s="19">
        <v>10676.78</v>
      </c>
      <c r="G66" s="19">
        <v>-4436.53</v>
      </c>
      <c r="H66" s="19"/>
      <c r="I66" s="19">
        <v>-12121.79</v>
      </c>
      <c r="J66" s="19"/>
      <c r="K66" s="19">
        <v>-6347.52</v>
      </c>
      <c r="L66" s="19"/>
      <c r="M66" s="19">
        <v>5847.4</v>
      </c>
      <c r="N66" s="19"/>
      <c r="O66" s="19"/>
      <c r="P66" s="19">
        <v>725.24</v>
      </c>
      <c r="Q66" s="19"/>
      <c r="R66" s="19">
        <v>3460.55</v>
      </c>
      <c r="S66" s="19"/>
    </row>
    <row r="67" spans="1:19" ht="43.2" x14ac:dyDescent="0.3">
      <c r="A67" s="69" t="s">
        <v>267</v>
      </c>
      <c r="B67" s="20" t="s">
        <v>301</v>
      </c>
      <c r="C67" s="19"/>
      <c r="D67" s="19"/>
      <c r="E67" s="19"/>
      <c r="F67" s="19"/>
      <c r="G67" s="19">
        <v>-1941.98</v>
      </c>
      <c r="H67" s="19"/>
      <c r="I67" s="19"/>
      <c r="J67" s="19"/>
      <c r="K67" s="19"/>
      <c r="L67" s="19"/>
      <c r="M67" s="19">
        <v>298.66000000000003</v>
      </c>
      <c r="N67" s="19"/>
      <c r="O67" s="19"/>
      <c r="P67" s="19"/>
      <c r="Q67" s="19"/>
      <c r="R67" s="19"/>
      <c r="S67" s="19"/>
    </row>
    <row r="68" spans="1:19" ht="28.8" x14ac:dyDescent="0.3">
      <c r="A68" s="69" t="s">
        <v>302</v>
      </c>
      <c r="B68" s="20" t="s">
        <v>335</v>
      </c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>
        <v>506.35</v>
      </c>
      <c r="S68" s="19"/>
    </row>
    <row r="69" spans="1:19" x14ac:dyDescent="0.3">
      <c r="A69" s="69" t="s">
        <v>332</v>
      </c>
      <c r="B69" s="20" t="s">
        <v>336</v>
      </c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</row>
    <row r="70" spans="1:19" ht="28.8" x14ac:dyDescent="0.3">
      <c r="A70" s="69" t="s">
        <v>333</v>
      </c>
      <c r="B70" s="20" t="s">
        <v>337</v>
      </c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>
        <v>1650.39</v>
      </c>
      <c r="S70" s="19"/>
    </row>
    <row r="71" spans="1:19" ht="31.2" x14ac:dyDescent="0.3">
      <c r="A71" s="69" t="s">
        <v>334</v>
      </c>
      <c r="B71" s="78" t="s">
        <v>268</v>
      </c>
      <c r="C71" s="67">
        <f>C40+C63+C66</f>
        <v>64732.640000000007</v>
      </c>
      <c r="D71" s="67">
        <f>D40+D63+D66</f>
        <v>58630.1</v>
      </c>
      <c r="E71" s="67">
        <f>E40+E63+E66</f>
        <v>79546.53</v>
      </c>
      <c r="F71" s="67">
        <f>F40+F63+F66</f>
        <v>80924.170000000013</v>
      </c>
      <c r="G71" s="67">
        <f t="shared" ref="G71:N71" si="14">G63+G40+G66+G67</f>
        <v>73851.730000000025</v>
      </c>
      <c r="H71" s="67">
        <f t="shared" si="14"/>
        <v>62772.479999999996</v>
      </c>
      <c r="I71" s="67">
        <f t="shared" si="14"/>
        <v>74665.670000000013</v>
      </c>
      <c r="J71" s="67">
        <f t="shared" si="14"/>
        <v>80867.899999999994</v>
      </c>
      <c r="K71" s="67">
        <f t="shared" si="14"/>
        <v>85390.2</v>
      </c>
      <c r="L71" s="67">
        <f t="shared" si="14"/>
        <v>94428.57</v>
      </c>
      <c r="M71" s="67">
        <f t="shared" si="14"/>
        <v>91715.50999999998</v>
      </c>
      <c r="N71" s="67">
        <f t="shared" si="14"/>
        <v>109530.46</v>
      </c>
      <c r="O71" s="67">
        <f t="shared" ref="O71:P71" si="15">O63+O40+O66+O67</f>
        <v>94044.95</v>
      </c>
      <c r="P71" s="67">
        <f t="shared" si="15"/>
        <v>85007.640000000014</v>
      </c>
      <c r="Q71" s="67">
        <f>Q63+Q40+Q66+Q67</f>
        <v>105336.11</v>
      </c>
      <c r="R71" s="67">
        <f>R63+R40+R66+R67+R68+R70</f>
        <v>91593.310000000012</v>
      </c>
      <c r="S71" s="67">
        <f>S63+S40+S66+S67</f>
        <v>111311.37000000001</v>
      </c>
    </row>
    <row r="72" spans="1:19" ht="15.6" x14ac:dyDescent="0.3">
      <c r="A72" s="70"/>
      <c r="B72" s="121"/>
      <c r="C72" s="111"/>
      <c r="D72" s="111"/>
      <c r="E72" s="111"/>
      <c r="F72" s="111"/>
      <c r="G72" s="111"/>
      <c r="H72" s="111"/>
      <c r="I72" s="111"/>
      <c r="J72" s="111"/>
      <c r="K72" s="111"/>
      <c r="L72" s="111"/>
      <c r="M72" s="111"/>
      <c r="N72" s="111"/>
      <c r="O72" s="111"/>
      <c r="P72" s="111"/>
      <c r="Q72" s="111"/>
      <c r="R72" s="111"/>
      <c r="S72" s="111"/>
    </row>
    <row r="73" spans="1:19" ht="15.6" x14ac:dyDescent="0.3">
      <c r="A73" s="70"/>
      <c r="B73" s="121"/>
      <c r="C73" s="111"/>
      <c r="D73" s="111"/>
      <c r="E73" s="111"/>
      <c r="F73" s="111"/>
      <c r="G73" s="111"/>
      <c r="H73" s="111"/>
      <c r="I73" s="111"/>
      <c r="J73" s="111"/>
      <c r="K73" s="111"/>
      <c r="L73" s="111"/>
      <c r="M73" s="111"/>
      <c r="N73" s="111"/>
      <c r="O73" s="111"/>
      <c r="P73" s="111"/>
      <c r="Q73" s="111"/>
      <c r="R73" s="111"/>
      <c r="S73" s="111"/>
    </row>
    <row r="74" spans="1:19" ht="15" customHeight="1" x14ac:dyDescent="0.35">
      <c r="A74" s="100" t="s">
        <v>347</v>
      </c>
      <c r="B74" s="122"/>
      <c r="C74" s="123"/>
      <c r="D74" s="100"/>
      <c r="E74" s="123"/>
      <c r="F74" s="123"/>
      <c r="G74" s="123"/>
      <c r="H74" s="123"/>
      <c r="I74" s="123"/>
      <c r="J74" s="123"/>
      <c r="K74" s="123"/>
      <c r="L74" s="100"/>
      <c r="M74" s="123"/>
      <c r="N74" s="123"/>
      <c r="O74" s="123"/>
      <c r="P74" s="123" t="s">
        <v>348</v>
      </c>
      <c r="Q74" s="123"/>
    </row>
    <row r="78" spans="1:19" s="26" customFormat="1" x14ac:dyDescent="0.3">
      <c r="A78" s="1"/>
      <c r="B78" s="1"/>
      <c r="C78" s="1"/>
      <c r="D78" s="1"/>
      <c r="E78" s="1"/>
      <c r="I78" s="1"/>
      <c r="J78" s="1"/>
      <c r="K78" s="1"/>
      <c r="L78" s="1"/>
      <c r="M78" s="1"/>
      <c r="N78" s="1"/>
    </row>
    <row r="79" spans="1:19" s="26" customFormat="1" ht="27.45" customHeight="1" x14ac:dyDescent="0.3">
      <c r="A79" s="1"/>
      <c r="B79" s="1"/>
      <c r="C79" s="1"/>
      <c r="D79" s="1"/>
      <c r="E79" s="1"/>
      <c r="I79" s="1"/>
      <c r="J79" s="1"/>
      <c r="K79" s="1"/>
      <c r="L79" s="1"/>
      <c r="M79" s="1"/>
      <c r="N79" s="1"/>
    </row>
  </sheetData>
  <mergeCells count="3">
    <mergeCell ref="A1:J1"/>
    <mergeCell ref="A2:D2"/>
    <mergeCell ref="A65:E65"/>
  </mergeCells>
  <pageMargins left="0.70866141732283472" right="0.70866141732283472" top="0.74803149606299213" bottom="0.74803149606299213" header="0.31496062992125984" footer="0.31496062992125984"/>
  <pageSetup paperSize="9" scale="92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НВВ 2024</vt:lpstr>
      <vt:lpstr>2.2</vt:lpstr>
      <vt:lpstr>2.1</vt:lpstr>
      <vt:lpstr>Смета расходов по годам</vt:lpstr>
      <vt:lpstr>Сравнить НВВ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2023-04-17T04:15:08Z</dcterms:modified>
</cp:coreProperties>
</file>